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an" sheetId="3" r:id="rId1"/>
    <sheet name="Feb" sheetId="4" r:id="rId2"/>
    <sheet name="Mar" sheetId="5" r:id="rId3"/>
    <sheet name="Apr" sheetId="6" r:id="rId4"/>
    <sheet name="May" sheetId="7" r:id="rId5"/>
    <sheet name="Jun" sheetId="8" r:id="rId6"/>
    <sheet name="Jul" sheetId="9" r:id="rId7"/>
    <sheet name="Aug" sheetId="10" r:id="rId8"/>
    <sheet name="Sep" sheetId="11" r:id="rId9"/>
    <sheet name="Oct" sheetId="12" r:id="rId10"/>
    <sheet name="Nov" sheetId="13" r:id="rId11"/>
    <sheet name="Dec" sheetId="14" r:id="rId12"/>
    <sheet name="Sheet2" sheetId="2" r:id="rId13"/>
  </sheets>
  <definedNames>
    <definedName name="AprSun1">DATE(CalendarYear,4,1)-WEEKDAY(DATE(CalendarYear,4,1))</definedName>
    <definedName name="AssignmentDays" localSheetId="3">Apr!$L$4:$L$33</definedName>
    <definedName name="AssignmentDays" localSheetId="7">Aug!$L$4:$L$33</definedName>
    <definedName name="AssignmentDays" localSheetId="11">Dec!$L$4:$L$33</definedName>
    <definedName name="AssignmentDays" localSheetId="1">Feb!$L$4:$L$33</definedName>
    <definedName name="AssignmentDays" localSheetId="6">Jul!$L$4:$L$33</definedName>
    <definedName name="AssignmentDays" localSheetId="5">Jun!$L$4:$L$33</definedName>
    <definedName name="AssignmentDays" localSheetId="2">Mar!$L$4:$L$33</definedName>
    <definedName name="AssignmentDays" localSheetId="4">May!$L$4:$L$33</definedName>
    <definedName name="AssignmentDays" localSheetId="10">Nov!$L$4:$L$33</definedName>
    <definedName name="AssignmentDays" localSheetId="9">Oct!$L$4:$L$33</definedName>
    <definedName name="AssignmentDays" localSheetId="8">Sep!$L$4:$L$33</definedName>
    <definedName name="AssignmentDays">Jan!$L$4:$L$33</definedName>
    <definedName name="AugSun1">DATE(CalendarYear,8,1)-WEEKDAY(DATE(CalendarYear,8,1))</definedName>
    <definedName name="CalendarYear">Jan!$N$2</definedName>
    <definedName name="DecSun1">DATE(CalendarYear,12,1)-WEEKDAY(DATE(CalendarYear,12,1))</definedName>
    <definedName name="FebSun1">DATE(CalendarYear,2,1)-WEEKDAY(DATE(CalendarYear,2,1))</definedName>
    <definedName name="ImportantDatesTable" localSheetId="3">Apr!$L$4:$M$8</definedName>
    <definedName name="ImportantDatesTable" localSheetId="7">Aug!$L$4:$M$8</definedName>
    <definedName name="ImportantDatesTable" localSheetId="11">Dec!$L$4:$M$8</definedName>
    <definedName name="ImportantDatesTable" localSheetId="1">Feb!$L$4:$M$8</definedName>
    <definedName name="ImportantDatesTable" localSheetId="6">Jul!$L$4:$M$8</definedName>
    <definedName name="ImportantDatesTable" localSheetId="5">Jun!$L$4:$M$8</definedName>
    <definedName name="ImportantDatesTable" localSheetId="2">Mar!$L$4:$M$8</definedName>
    <definedName name="ImportantDatesTable" localSheetId="4">May!$L$4:$M$8</definedName>
    <definedName name="ImportantDatesTable" localSheetId="10">Nov!$L$4:$M$8</definedName>
    <definedName name="ImportantDatesTable" localSheetId="9">Oct!$L$4:$M$8</definedName>
    <definedName name="ImportantDatesTable" localSheetId="8">Sep!$L$4:$M$8</definedName>
    <definedName name="ImportantDatesTable">Jan!$L$4:$M$8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_xlnm.Print_Area" localSheetId="3">Apr!$A$1:$N$33</definedName>
    <definedName name="_xlnm.Print_Area" localSheetId="7">Aug!$A$1:$N$33</definedName>
    <definedName name="_xlnm.Print_Area" localSheetId="11">Dec!$A$1:$N$33</definedName>
    <definedName name="_xlnm.Print_Area" localSheetId="1">Feb!$A$1:$N$33</definedName>
    <definedName name="_xlnm.Print_Area" localSheetId="0">Jan!$A$1:$N$33</definedName>
    <definedName name="_xlnm.Print_Area" localSheetId="6">Jul!$A$1:$N$33</definedName>
    <definedName name="_xlnm.Print_Area" localSheetId="5">Jun!$A$1:$N$33</definedName>
    <definedName name="_xlnm.Print_Area" localSheetId="2">Mar!$A$1:$N$33</definedName>
    <definedName name="_xlnm.Print_Area" localSheetId="4">May!$A$1:$N$33</definedName>
    <definedName name="_xlnm.Print_Area" localSheetId="10">Nov!$A$1:$N$33</definedName>
    <definedName name="_xlnm.Print_Area" localSheetId="9">Oct!$A$1:$N$33</definedName>
    <definedName name="_xlnm.Print_Area" localSheetId="8">Sep!$A$1:$N$33</definedName>
    <definedName name="SepSun1">DATE(CalendarYear,9,1)-WEEKDAY(DATE(CalendarYear,9,1))</definedName>
  </definedNames>
  <calcPr calcId="152511"/>
</workbook>
</file>

<file path=xl/calcChain.xml><?xml version="1.0" encoding="utf-8"?>
<calcChain xmlns="http://schemas.openxmlformats.org/spreadsheetml/2006/main">
  <c r="N2" i="3" l="1"/>
  <c r="D4" i="3" s="1"/>
  <c r="I9" i="12" l="1"/>
  <c r="E9" i="14"/>
  <c r="D9" i="12"/>
  <c r="D9" i="14"/>
  <c r="C8" i="14"/>
  <c r="I6" i="14"/>
  <c r="H5" i="14"/>
  <c r="D5" i="14"/>
  <c r="C4" i="14"/>
  <c r="D6" i="11"/>
  <c r="C4" i="13"/>
  <c r="F9" i="14"/>
  <c r="I8" i="14"/>
  <c r="E8" i="14"/>
  <c r="H7" i="14"/>
  <c r="D7" i="14"/>
  <c r="G6" i="14"/>
  <c r="C6" i="14"/>
  <c r="F5" i="14"/>
  <c r="I4" i="14"/>
  <c r="E4" i="14"/>
  <c r="I9" i="14"/>
  <c r="H8" i="14"/>
  <c r="D8" i="14"/>
  <c r="G7" i="14"/>
  <c r="C7" i="14"/>
  <c r="F6" i="14"/>
  <c r="I5" i="14"/>
  <c r="E5" i="14"/>
  <c r="H4" i="14"/>
  <c r="D4" i="14"/>
  <c r="H9" i="14"/>
  <c r="G8" i="14"/>
  <c r="F7" i="14"/>
  <c r="E6" i="14"/>
  <c r="G4" i="14"/>
  <c r="G9" i="11"/>
  <c r="E8" i="12"/>
  <c r="G9" i="14"/>
  <c r="C9" i="14"/>
  <c r="F8" i="14"/>
  <c r="I7" i="14"/>
  <c r="E7" i="14"/>
  <c r="H6" i="14"/>
  <c r="D6" i="14"/>
  <c r="G5" i="14"/>
  <c r="C5" i="14"/>
  <c r="F4" i="14"/>
  <c r="N2" i="14"/>
  <c r="G7" i="12"/>
  <c r="I6" i="12"/>
  <c r="C6" i="12"/>
  <c r="E5" i="12"/>
  <c r="G4" i="12"/>
  <c r="I9" i="13"/>
  <c r="E9" i="13"/>
  <c r="H8" i="13"/>
  <c r="D8" i="13"/>
  <c r="G7" i="13"/>
  <c r="C7" i="13"/>
  <c r="F6" i="13"/>
  <c r="I5" i="13"/>
  <c r="E5" i="13"/>
  <c r="H4" i="13"/>
  <c r="D4" i="13"/>
  <c r="F8" i="11"/>
  <c r="H9" i="12"/>
  <c r="D8" i="12"/>
  <c r="G6" i="12"/>
  <c r="D5" i="12"/>
  <c r="H9" i="13"/>
  <c r="G8" i="13"/>
  <c r="F7" i="13"/>
  <c r="E6" i="13"/>
  <c r="H5" i="13"/>
  <c r="G4" i="13"/>
  <c r="F9" i="10"/>
  <c r="C5" i="11"/>
  <c r="H8" i="12"/>
  <c r="D7" i="12"/>
  <c r="H5" i="12"/>
  <c r="I4" i="12"/>
  <c r="G9" i="13"/>
  <c r="C9" i="13"/>
  <c r="F8" i="13"/>
  <c r="E7" i="13"/>
  <c r="H6" i="13"/>
  <c r="D6" i="13"/>
  <c r="G5" i="13"/>
  <c r="C5" i="13"/>
  <c r="F4" i="13"/>
  <c r="D7" i="10"/>
  <c r="E7" i="11"/>
  <c r="N2" i="11"/>
  <c r="E9" i="12"/>
  <c r="G8" i="12"/>
  <c r="H7" i="12"/>
  <c r="C7" i="12"/>
  <c r="E6" i="12"/>
  <c r="F5" i="12"/>
  <c r="H4" i="12"/>
  <c r="C4" i="12"/>
  <c r="F9" i="13"/>
  <c r="I8" i="13"/>
  <c r="E8" i="13"/>
  <c r="H7" i="13"/>
  <c r="D7" i="13"/>
  <c r="G6" i="13"/>
  <c r="C6" i="13"/>
  <c r="F5" i="13"/>
  <c r="I4" i="13"/>
  <c r="E4" i="13"/>
  <c r="G5" i="11"/>
  <c r="I8" i="12"/>
  <c r="F7" i="12"/>
  <c r="I5" i="12"/>
  <c r="E4" i="12"/>
  <c r="D9" i="13"/>
  <c r="C8" i="13"/>
  <c r="I6" i="13"/>
  <c r="D5" i="13"/>
  <c r="I7" i="11"/>
  <c r="F9" i="12"/>
  <c r="C8" i="12"/>
  <c r="F6" i="12"/>
  <c r="D4" i="12"/>
  <c r="I7" i="13"/>
  <c r="N2" i="13"/>
  <c r="C9" i="11"/>
  <c r="H6" i="11"/>
  <c r="F4" i="11"/>
  <c r="G9" i="12"/>
  <c r="C9" i="12"/>
  <c r="F8" i="12"/>
  <c r="I7" i="12"/>
  <c r="E7" i="12"/>
  <c r="H6" i="12"/>
  <c r="D6" i="12"/>
  <c r="G5" i="12"/>
  <c r="C5" i="12"/>
  <c r="F4" i="12"/>
  <c r="N2" i="12"/>
  <c r="I8" i="10"/>
  <c r="G6" i="10"/>
  <c r="F9" i="11"/>
  <c r="I8" i="11"/>
  <c r="E8" i="11"/>
  <c r="H7" i="11"/>
  <c r="D7" i="11"/>
  <c r="G6" i="11"/>
  <c r="C6" i="11"/>
  <c r="F5" i="11"/>
  <c r="I4" i="11"/>
  <c r="E4" i="11"/>
  <c r="D9" i="9"/>
  <c r="E8" i="10"/>
  <c r="I9" i="11"/>
  <c r="E9" i="11"/>
  <c r="H8" i="11"/>
  <c r="D8" i="11"/>
  <c r="G7" i="11"/>
  <c r="C7" i="11"/>
  <c r="F6" i="11"/>
  <c r="I5" i="11"/>
  <c r="E5" i="11"/>
  <c r="H4" i="11"/>
  <c r="D4" i="11"/>
  <c r="I6" i="9"/>
  <c r="H7" i="10"/>
  <c r="H9" i="11"/>
  <c r="D9" i="11"/>
  <c r="G8" i="11"/>
  <c r="C8" i="11"/>
  <c r="F7" i="11"/>
  <c r="I6" i="11"/>
  <c r="E6" i="11"/>
  <c r="H5" i="11"/>
  <c r="D5" i="11"/>
  <c r="G4" i="11"/>
  <c r="C4" i="11"/>
  <c r="C8" i="9"/>
  <c r="H9" i="10"/>
  <c r="D9" i="10"/>
  <c r="G8" i="10"/>
  <c r="C8" i="10"/>
  <c r="F7" i="10"/>
  <c r="I6" i="10"/>
  <c r="E6" i="10"/>
  <c r="H5" i="10"/>
  <c r="D5" i="10"/>
  <c r="G4" i="10"/>
  <c r="C4" i="10"/>
  <c r="C6" i="10"/>
  <c r="F5" i="10"/>
  <c r="I4" i="10"/>
  <c r="E4" i="10"/>
  <c r="G8" i="9"/>
  <c r="I9" i="10"/>
  <c r="E9" i="10"/>
  <c r="H8" i="10"/>
  <c r="D8" i="10"/>
  <c r="G7" i="10"/>
  <c r="C7" i="10"/>
  <c r="F6" i="10"/>
  <c r="I5" i="10"/>
  <c r="E5" i="10"/>
  <c r="H4" i="10"/>
  <c r="D4" i="10"/>
  <c r="H9" i="9"/>
  <c r="F7" i="9"/>
  <c r="G9" i="10"/>
  <c r="C9" i="10"/>
  <c r="F8" i="10"/>
  <c r="I7" i="10"/>
  <c r="E7" i="10"/>
  <c r="H6" i="10"/>
  <c r="D6" i="10"/>
  <c r="G5" i="10"/>
  <c r="C5" i="10"/>
  <c r="F4" i="10"/>
  <c r="N2" i="10"/>
  <c r="F9" i="9"/>
  <c r="I8" i="9"/>
  <c r="E8" i="9"/>
  <c r="H7" i="9"/>
  <c r="D7" i="9"/>
  <c r="G6" i="9"/>
  <c r="C6" i="9"/>
  <c r="F5" i="9"/>
  <c r="I4" i="9"/>
  <c r="E4" i="9"/>
  <c r="E6" i="9"/>
  <c r="H5" i="9"/>
  <c r="D5" i="9"/>
  <c r="G4" i="9"/>
  <c r="C4" i="9"/>
  <c r="G9" i="9"/>
  <c r="C9" i="9"/>
  <c r="F8" i="9"/>
  <c r="I7" i="9"/>
  <c r="E7" i="9"/>
  <c r="H6" i="9"/>
  <c r="D6" i="9"/>
  <c r="G5" i="9"/>
  <c r="C5" i="9"/>
  <c r="F4" i="9"/>
  <c r="N2" i="9"/>
  <c r="I9" i="9"/>
  <c r="E9" i="9"/>
  <c r="H8" i="9"/>
  <c r="D8" i="9"/>
  <c r="G7" i="9"/>
  <c r="C7" i="9"/>
  <c r="F6" i="9"/>
  <c r="I5" i="9"/>
  <c r="E5" i="9"/>
  <c r="H4" i="9"/>
  <c r="D4" i="9"/>
  <c r="I9" i="5"/>
  <c r="H8" i="5"/>
  <c r="D9" i="6"/>
  <c r="G7" i="6"/>
  <c r="E5" i="6"/>
  <c r="I8" i="7"/>
  <c r="G6" i="7"/>
  <c r="E4" i="7"/>
  <c r="F9" i="8"/>
  <c r="I8" i="8"/>
  <c r="E8" i="8"/>
  <c r="H7" i="8"/>
  <c r="D7" i="8"/>
  <c r="G6" i="8"/>
  <c r="C6" i="8"/>
  <c r="F5" i="8"/>
  <c r="I4" i="8"/>
  <c r="E4" i="8"/>
  <c r="C7" i="5"/>
  <c r="G4" i="6"/>
  <c r="C6" i="7"/>
  <c r="E9" i="8"/>
  <c r="D8" i="8"/>
  <c r="C7" i="8"/>
  <c r="I5" i="8"/>
  <c r="H4" i="8"/>
  <c r="I9" i="6"/>
  <c r="F8" i="6"/>
  <c r="I6" i="6"/>
  <c r="N2" i="6"/>
  <c r="H7" i="7"/>
  <c r="F5" i="7"/>
  <c r="H9" i="8"/>
  <c r="D9" i="8"/>
  <c r="G8" i="8"/>
  <c r="C8" i="8"/>
  <c r="F7" i="8"/>
  <c r="I6" i="8"/>
  <c r="E6" i="8"/>
  <c r="H5" i="8"/>
  <c r="D5" i="8"/>
  <c r="G4" i="8"/>
  <c r="C4" i="8"/>
  <c r="H8" i="6"/>
  <c r="E7" i="6"/>
  <c r="E8" i="7"/>
  <c r="I9" i="8"/>
  <c r="H8" i="8"/>
  <c r="G7" i="8"/>
  <c r="F6" i="8"/>
  <c r="E5" i="8"/>
  <c r="D4" i="8"/>
  <c r="G9" i="6"/>
  <c r="C8" i="6"/>
  <c r="D6" i="6"/>
  <c r="F9" i="7"/>
  <c r="D7" i="7"/>
  <c r="I4" i="7"/>
  <c r="G9" i="8"/>
  <c r="C9" i="8"/>
  <c r="F8" i="8"/>
  <c r="I7" i="8"/>
  <c r="E7" i="8"/>
  <c r="H6" i="8"/>
  <c r="D6" i="8"/>
  <c r="G5" i="8"/>
  <c r="C5" i="8"/>
  <c r="F4" i="8"/>
  <c r="N2" i="8"/>
  <c r="G7" i="5"/>
  <c r="H9" i="6"/>
  <c r="C9" i="6"/>
  <c r="D8" i="6"/>
  <c r="F7" i="6"/>
  <c r="H6" i="6"/>
  <c r="I5" i="6"/>
  <c r="D5" i="6"/>
  <c r="F4" i="6"/>
  <c r="I9" i="7"/>
  <c r="E9" i="7"/>
  <c r="H8" i="7"/>
  <c r="D8" i="7"/>
  <c r="G7" i="7"/>
  <c r="C7" i="7"/>
  <c r="F6" i="7"/>
  <c r="I5" i="7"/>
  <c r="E5" i="7"/>
  <c r="H4" i="7"/>
  <c r="D4" i="7"/>
  <c r="F6" i="6"/>
  <c r="H5" i="6"/>
  <c r="C5" i="6"/>
  <c r="D4" i="6"/>
  <c r="H9" i="7"/>
  <c r="D9" i="7"/>
  <c r="G8" i="7"/>
  <c r="C8" i="7"/>
  <c r="F7" i="7"/>
  <c r="I6" i="7"/>
  <c r="E6" i="7"/>
  <c r="H5" i="7"/>
  <c r="D5" i="7"/>
  <c r="G4" i="7"/>
  <c r="C4" i="7"/>
  <c r="E9" i="5"/>
  <c r="F6" i="5"/>
  <c r="E9" i="6"/>
  <c r="G8" i="6"/>
  <c r="I7" i="6"/>
  <c r="C7" i="6"/>
  <c r="E6" i="6"/>
  <c r="G5" i="6"/>
  <c r="H4" i="6"/>
  <c r="C4" i="6"/>
  <c r="G9" i="7"/>
  <c r="C9" i="7"/>
  <c r="F8" i="7"/>
  <c r="I7" i="7"/>
  <c r="E7" i="7"/>
  <c r="H6" i="7"/>
  <c r="D6" i="7"/>
  <c r="G5" i="7"/>
  <c r="C5" i="7"/>
  <c r="F4" i="7"/>
  <c r="N2" i="7"/>
  <c r="D8" i="5"/>
  <c r="I5" i="5"/>
  <c r="F9" i="6"/>
  <c r="I8" i="6"/>
  <c r="E8" i="6"/>
  <c r="H7" i="6"/>
  <c r="D7" i="6"/>
  <c r="G6" i="6"/>
  <c r="C6" i="6"/>
  <c r="F5" i="6"/>
  <c r="I4" i="6"/>
  <c r="E4" i="6"/>
  <c r="F9" i="5"/>
  <c r="I8" i="5"/>
  <c r="E8" i="5"/>
  <c r="H7" i="5"/>
  <c r="D7" i="5"/>
  <c r="G6" i="5"/>
  <c r="C6" i="5"/>
  <c r="F5" i="5"/>
  <c r="I4" i="5"/>
  <c r="E4" i="5"/>
  <c r="E5" i="5"/>
  <c r="H4" i="5"/>
  <c r="D4" i="5"/>
  <c r="H9" i="5"/>
  <c r="D9" i="5"/>
  <c r="G8" i="5"/>
  <c r="C8" i="5"/>
  <c r="F7" i="5"/>
  <c r="I6" i="5"/>
  <c r="E6" i="5"/>
  <c r="H5" i="5"/>
  <c r="D5" i="5"/>
  <c r="G4" i="5"/>
  <c r="C4" i="5"/>
  <c r="G9" i="5"/>
  <c r="C9" i="5"/>
  <c r="F8" i="5"/>
  <c r="I7" i="5"/>
  <c r="E7" i="5"/>
  <c r="H6" i="5"/>
  <c r="D6" i="5"/>
  <c r="G5" i="5"/>
  <c r="C5" i="5"/>
  <c r="F4" i="5"/>
  <c r="N2" i="5"/>
  <c r="H7" i="4"/>
  <c r="G6" i="4"/>
  <c r="C6" i="4"/>
  <c r="F5" i="4"/>
  <c r="I4" i="4"/>
  <c r="E4" i="4"/>
  <c r="D9" i="3"/>
  <c r="E8" i="4"/>
  <c r="I9" i="4"/>
  <c r="G7" i="4"/>
  <c r="D4" i="4"/>
  <c r="I8" i="4"/>
  <c r="G8" i="3"/>
  <c r="H8" i="4"/>
  <c r="C7" i="4"/>
  <c r="I5" i="4"/>
  <c r="H4" i="4"/>
  <c r="C8" i="3"/>
  <c r="H9" i="4"/>
  <c r="D9" i="4"/>
  <c r="G8" i="4"/>
  <c r="C8" i="4"/>
  <c r="F7" i="4"/>
  <c r="I6" i="4"/>
  <c r="E6" i="4"/>
  <c r="H5" i="4"/>
  <c r="D5" i="4"/>
  <c r="G4" i="4"/>
  <c r="C4" i="4"/>
  <c r="F9" i="4"/>
  <c r="D7" i="4"/>
  <c r="E9" i="4"/>
  <c r="D8" i="4"/>
  <c r="F6" i="4"/>
  <c r="E5" i="4"/>
  <c r="H9" i="3"/>
  <c r="F7" i="3"/>
  <c r="G9" i="4"/>
  <c r="C9" i="4"/>
  <c r="F8" i="4"/>
  <c r="I7" i="4"/>
  <c r="E7" i="4"/>
  <c r="H6" i="4"/>
  <c r="D6" i="4"/>
  <c r="G5" i="4"/>
  <c r="C5" i="4"/>
  <c r="F4" i="4"/>
  <c r="N2" i="4"/>
  <c r="F9" i="3"/>
  <c r="I8" i="3"/>
  <c r="E8" i="3"/>
  <c r="H7" i="3"/>
  <c r="D7" i="3"/>
  <c r="G6" i="3"/>
  <c r="C6" i="3"/>
  <c r="F5" i="3"/>
  <c r="I4" i="3"/>
  <c r="E4" i="3"/>
  <c r="I6" i="3"/>
  <c r="E6" i="3"/>
  <c r="H5" i="3"/>
  <c r="D5" i="3"/>
  <c r="G4" i="3"/>
  <c r="C4" i="3"/>
  <c r="G9" i="3"/>
  <c r="C9" i="3"/>
  <c r="F8" i="3"/>
  <c r="I7" i="3"/>
  <c r="E7" i="3"/>
  <c r="H6" i="3"/>
  <c r="D6" i="3"/>
  <c r="G5" i="3"/>
  <c r="C5" i="3"/>
  <c r="F4" i="3"/>
  <c r="I9" i="3"/>
  <c r="E9" i="3"/>
  <c r="H8" i="3"/>
  <c r="D8" i="3"/>
  <c r="G7" i="3"/>
  <c r="C7" i="3"/>
  <c r="F6" i="3"/>
  <c r="I5" i="3"/>
  <c r="E5" i="3"/>
  <c r="H4" i="3"/>
</calcChain>
</file>

<file path=xl/sharedStrings.xml><?xml version="1.0" encoding="utf-8"?>
<sst xmlns="http://schemas.openxmlformats.org/spreadsheetml/2006/main" count="555" uniqueCount="39">
  <si>
    <t>Programming</t>
  </si>
  <si>
    <t>4:00</t>
  </si>
  <si>
    <t>FRI</t>
  </si>
  <si>
    <t>English</t>
  </si>
  <si>
    <t>2:00</t>
  </si>
  <si>
    <t>THU</t>
  </si>
  <si>
    <t>Math</t>
  </si>
  <si>
    <t>10:00</t>
  </si>
  <si>
    <t>Art History</t>
  </si>
  <si>
    <t>WED</t>
  </si>
  <si>
    <t>9:00</t>
  </si>
  <si>
    <t>French</t>
  </si>
  <si>
    <t>8:00</t>
  </si>
  <si>
    <t>THURS</t>
  </si>
  <si>
    <t>TUES</t>
  </si>
  <si>
    <t>MON</t>
  </si>
  <si>
    <t>WEEKLY SCHEDULE</t>
  </si>
  <si>
    <t>Art History: Test</t>
  </si>
  <si>
    <t>TUE</t>
  </si>
  <si>
    <t>French: First paper draft due</t>
  </si>
  <si>
    <t>S</t>
  </si>
  <si>
    <t>F</t>
  </si>
  <si>
    <t>T</t>
  </si>
  <si>
    <t>W</t>
  </si>
  <si>
    <t>M</t>
  </si>
  <si>
    <t>JAN</t>
  </si>
  <si>
    <t>&lt; Enter the calendar year in N2.</t>
  </si>
  <si>
    <t>ASSIGNMENTS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</si>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</sst>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2"/>
      <color theme="4"/>
      <name val="Cambria"/>
      <family val="2"/>
      <scheme val="major"/>
    </font>
    <font>
      <b/>
      <sz val="8.5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8.5"/>
      <color theme="1"/>
      <name val="Cambria"/>
      <family val="2"/>
      <scheme val="major"/>
    </font>
    <font>
      <b/>
      <sz val="12"/>
      <color theme="4"/>
      <name val="Cambria"/>
      <family val="2"/>
      <scheme val="major"/>
    </font>
    <font>
      <sz val="10"/>
      <color theme="0"/>
      <name val="Calibri"/>
      <family val="2"/>
      <scheme val="minor"/>
    </font>
    <font>
      <b/>
      <sz val="10.5"/>
      <name val="Calibri"/>
      <family val="2"/>
      <scheme val="minor"/>
    </font>
    <font>
      <b/>
      <sz val="24"/>
      <color theme="4"/>
      <name val="Calibri"/>
      <family val="2"/>
      <scheme val="minor"/>
    </font>
    <font>
      <sz val="10.5"/>
      <color theme="1" tint="0.249977111117893"/>
      <name val="Calibri"/>
      <family val="2"/>
      <scheme val="minor"/>
    </font>
    <font>
      <b/>
      <sz val="10"/>
      <color rgb="FF39B5D4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7"/>
      <color theme="4"/>
      <name val="Calibri"/>
      <family val="2"/>
      <scheme val="minor"/>
    </font>
    <font>
      <sz val="10"/>
      <color theme="1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44">
    <border>
      <left/>
      <right/>
      <top/>
      <bottom/>
      <diagonal/>
    </border>
    <border>
      <left/>
      <right style="thin">
        <color theme="4" tint="0.79995117038483843"/>
      </right>
      <top style="thin">
        <color theme="5"/>
      </top>
      <bottom style="thin">
        <color theme="4" tint="0.79998168889431442"/>
      </bottom>
      <diagonal/>
    </border>
    <border>
      <left/>
      <right/>
      <top style="thin">
        <color theme="5"/>
      </top>
      <bottom style="thin">
        <color theme="4" tint="0.79998168889431442"/>
      </bottom>
      <diagonal/>
    </border>
    <border>
      <left/>
      <right/>
      <top/>
      <bottom style="thin">
        <color theme="4" tint="0.79995117038483843"/>
      </bottom>
      <diagonal/>
    </border>
    <border>
      <left/>
      <right style="thin">
        <color theme="4" tint="0.79992065187536243"/>
      </right>
      <top/>
      <bottom style="thin">
        <color theme="4" tint="0.79995117038483843"/>
      </bottom>
      <diagonal/>
    </border>
    <border>
      <left style="thin">
        <color theme="0"/>
      </left>
      <right/>
      <top/>
      <bottom style="thin">
        <color theme="4" tint="0.79995117038483843"/>
      </bottom>
      <diagonal/>
    </border>
    <border>
      <left/>
      <right style="thin">
        <color theme="0"/>
      </right>
      <top/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0"/>
      </right>
      <top/>
      <bottom style="thin">
        <color theme="4" tint="0.79995117038483843"/>
      </bottom>
      <diagonal/>
    </border>
    <border>
      <left/>
      <right style="thin">
        <color theme="4" tint="0.79995117038483843"/>
      </right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4" tint="0.79992065187536243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4" tint="0.79998168889431442"/>
      </left>
      <right style="thin">
        <color theme="0"/>
      </right>
      <top/>
      <bottom/>
      <diagonal/>
    </border>
    <border>
      <left/>
      <right style="thin">
        <color theme="4" tint="0.79992065187536243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 tint="0.79998168889431442"/>
      </left>
      <right style="thin">
        <color theme="0"/>
      </right>
      <top/>
      <bottom style="thin">
        <color theme="0"/>
      </bottom>
      <diagonal/>
    </border>
    <border>
      <left style="thin">
        <color theme="4" tint="0.79992065187536243"/>
      </left>
      <right/>
      <top/>
      <bottom/>
      <diagonal/>
    </border>
    <border>
      <left/>
      <right style="thin">
        <color theme="4" tint="0.79995117038483843"/>
      </right>
      <top style="thin">
        <color theme="4" tint="0.79998168889431442"/>
      </top>
      <bottom style="thin">
        <color theme="5"/>
      </bottom>
      <diagonal/>
    </border>
    <border>
      <left/>
      <right/>
      <top style="thin">
        <color theme="4" tint="0.79998168889431442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4" tint="0.79992065187536243"/>
      </left>
      <right/>
      <top style="thin">
        <color theme="4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2065187536243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4" tint="0.79998168889431442"/>
      </left>
      <right style="thin">
        <color theme="0"/>
      </right>
      <top style="thin">
        <color theme="0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5117038483843"/>
      </bottom>
      <diagonal/>
    </border>
    <border>
      <left/>
      <right style="thin">
        <color theme="4" tint="0.79995117038483843"/>
      </right>
      <top style="thin">
        <color theme="4" tint="0.79989013336588644"/>
      </top>
      <bottom style="thin">
        <color theme="5"/>
      </bottom>
      <diagonal/>
    </border>
    <border>
      <left/>
      <right/>
      <top style="thin">
        <color theme="4" tint="0.79989013336588644"/>
      </top>
      <bottom style="thin">
        <color theme="5"/>
      </bottom>
      <diagonal/>
    </border>
    <border>
      <left style="thin">
        <color theme="4" tint="0.79992065187536243"/>
      </left>
      <right/>
      <top style="thin">
        <color theme="4" tint="0.79989013336588644"/>
      </top>
      <bottom/>
      <diagonal/>
    </border>
    <border>
      <left/>
      <right style="thin">
        <color theme="4" tint="0.79989013336588644"/>
      </right>
      <top/>
      <bottom style="thin">
        <color theme="4" tint="0.79989013336588644"/>
      </bottom>
      <diagonal/>
    </border>
    <border>
      <left/>
      <right/>
      <top/>
      <bottom style="thin">
        <color theme="4" tint="0.79989013336588644"/>
      </bottom>
      <diagonal/>
    </border>
    <border>
      <left style="thin">
        <color theme="4" tint="0.79992065187536243"/>
      </left>
      <right/>
      <top/>
      <bottom style="thin">
        <color theme="4" tint="0.79989013336588644"/>
      </bottom>
      <diagonal/>
    </border>
    <border>
      <left/>
      <right style="thin">
        <color theme="4" tint="0.79989013336588644"/>
      </right>
      <top style="thin">
        <color theme="4" tint="0.79989013336588644"/>
      </top>
      <bottom/>
      <diagonal/>
    </border>
    <border>
      <left/>
      <right/>
      <top style="thin">
        <color theme="4" tint="0.79989013336588644"/>
      </top>
      <bottom/>
      <diagonal/>
    </border>
    <border>
      <left/>
      <right style="thin">
        <color theme="4" tint="0.79992065187536243"/>
      </right>
      <top style="thin">
        <color theme="4" tint="0.79995117038483843"/>
      </top>
      <bottom/>
      <diagonal/>
    </border>
    <border>
      <left/>
      <right/>
      <top style="thin">
        <color theme="4" tint="0.79995117038483843"/>
      </top>
      <bottom/>
      <diagonal/>
    </border>
    <border>
      <left style="thin">
        <color theme="4" tint="0.79998168889431442"/>
      </left>
      <right/>
      <top style="thin">
        <color theme="4" tint="0.79995117038483843"/>
      </top>
      <bottom/>
      <diagonal/>
    </border>
    <border>
      <left/>
      <right style="thin">
        <color theme="4" tint="0.79985961485641044"/>
      </right>
      <top/>
      <bottom style="thin">
        <color theme="4" tint="0.79989013336588644"/>
      </bottom>
      <diagonal/>
    </border>
    <border>
      <left/>
      <right style="thin">
        <color theme="4" tint="0.79985961485641044"/>
      </right>
      <top style="thin">
        <color theme="4" tint="0.79985961485641044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Protection="0">
      <alignment textRotation="90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1" applyFont="1"/>
    <xf numFmtId="0" fontId="1" fillId="0" borderId="0" xfId="1"/>
    <xf numFmtId="164" fontId="2" fillId="0" borderId="1" xfId="1" applyNumberFormat="1" applyFont="1" applyFill="1" applyBorder="1" applyAlignment="1">
      <alignment horizontal="left"/>
    </xf>
    <xf numFmtId="164" fontId="2" fillId="0" borderId="2" xfId="1" applyNumberFormat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left" vertical="top" indent="1"/>
    </xf>
    <xf numFmtId="164" fontId="5" fillId="2" borderId="5" xfId="1" applyNumberFormat="1" applyFont="1" applyFill="1" applyBorder="1" applyAlignment="1">
      <alignment horizontal="left" vertical="top" indent="1"/>
    </xf>
    <xf numFmtId="0" fontId="5" fillId="2" borderId="6" xfId="1" applyFont="1" applyFill="1" applyBorder="1" applyAlignment="1">
      <alignment horizontal="left" vertical="top" indent="1"/>
    </xf>
    <xf numFmtId="0" fontId="5" fillId="2" borderId="5" xfId="1" applyFont="1" applyFill="1" applyBorder="1" applyAlignment="1">
      <alignment horizontal="left" vertical="top" indent="1"/>
    </xf>
    <xf numFmtId="0" fontId="5" fillId="2" borderId="7" xfId="1" applyFont="1" applyFill="1" applyBorder="1" applyAlignment="1">
      <alignment horizontal="left" vertical="top" indent="1"/>
    </xf>
    <xf numFmtId="0" fontId="6" fillId="0" borderId="8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0" fontId="7" fillId="0" borderId="0" xfId="1" applyFont="1" applyBorder="1" applyAlignment="1">
      <alignment horizontal="right" vertical="center" textRotation="90"/>
    </xf>
    <xf numFmtId="49" fontId="8" fillId="2" borderId="10" xfId="1" applyNumberFormat="1" applyFont="1" applyFill="1" applyBorder="1" applyAlignment="1">
      <alignment horizontal="left" vertical="center" indent="1"/>
    </xf>
    <xf numFmtId="49" fontId="8" fillId="2" borderId="11" xfId="1" applyNumberFormat="1" applyFont="1" applyFill="1" applyBorder="1" applyAlignment="1">
      <alignment horizontal="left" vertical="center" indent="1"/>
    </xf>
    <xf numFmtId="49" fontId="8" fillId="2" borderId="12" xfId="1" applyNumberFormat="1" applyFont="1" applyFill="1" applyBorder="1" applyAlignment="1">
      <alignment horizontal="left" indent="1"/>
    </xf>
    <xf numFmtId="49" fontId="8" fillId="2" borderId="11" xfId="1" applyNumberFormat="1" applyFont="1" applyFill="1" applyBorder="1" applyAlignment="1">
      <alignment horizontal="left" indent="1"/>
    </xf>
    <xf numFmtId="49" fontId="8" fillId="2" borderId="13" xfId="1" applyNumberFormat="1" applyFont="1" applyFill="1" applyBorder="1" applyAlignment="1">
      <alignment horizontal="left" indent="1"/>
    </xf>
    <xf numFmtId="0" fontId="5" fillId="2" borderId="14" xfId="1" applyFont="1" applyFill="1" applyBorder="1" applyAlignment="1">
      <alignment horizontal="left" vertical="top" indent="1"/>
    </xf>
    <xf numFmtId="0" fontId="5" fillId="2" borderId="15" xfId="1" applyFont="1" applyFill="1" applyBorder="1" applyAlignment="1">
      <alignment horizontal="left" vertical="top" indent="1"/>
    </xf>
    <xf numFmtId="0" fontId="5" fillId="2" borderId="16" xfId="1" applyFont="1" applyFill="1" applyBorder="1" applyAlignment="1">
      <alignment horizontal="left" vertical="top" indent="1"/>
    </xf>
    <xf numFmtId="0" fontId="5" fillId="2" borderId="17" xfId="1" applyFont="1" applyFill="1" applyBorder="1" applyAlignment="1">
      <alignment horizontal="left" vertical="top" indent="1"/>
    </xf>
    <xf numFmtId="0" fontId="9" fillId="0" borderId="18" xfId="2" applyBorder="1" applyAlignment="1">
      <alignment vertical="top"/>
    </xf>
    <xf numFmtId="49" fontId="10" fillId="2" borderId="10" xfId="1" applyNumberFormat="1" applyFont="1" applyFill="1" applyBorder="1" applyAlignment="1">
      <alignment horizontal="left" indent="1"/>
    </xf>
    <xf numFmtId="49" fontId="10" fillId="2" borderId="11" xfId="1" applyNumberFormat="1" applyFont="1" applyFill="1" applyBorder="1" applyAlignment="1">
      <alignment horizontal="left" indent="1"/>
    </xf>
    <xf numFmtId="0" fontId="6" fillId="0" borderId="19" xfId="1" applyFont="1" applyBorder="1" applyAlignment="1">
      <alignment horizontal="left"/>
    </xf>
    <xf numFmtId="0" fontId="6" fillId="0" borderId="20" xfId="1" applyFont="1" applyBorder="1" applyAlignment="1">
      <alignment horizontal="left"/>
    </xf>
    <xf numFmtId="0" fontId="3" fillId="0" borderId="21" xfId="1" applyFont="1" applyBorder="1" applyAlignment="1">
      <alignment horizontal="center"/>
    </xf>
    <xf numFmtId="0" fontId="9" fillId="0" borderId="22" xfId="2" applyBorder="1" applyAlignment="1">
      <alignment vertical="top"/>
    </xf>
    <xf numFmtId="49" fontId="8" fillId="2" borderId="10" xfId="1" applyNumberFormat="1" applyFont="1" applyFill="1" applyBorder="1" applyAlignment="1">
      <alignment horizontal="left" indent="1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23" xfId="1" applyFont="1" applyBorder="1" applyAlignment="1">
      <alignment horizontal="right" vertical="center"/>
    </xf>
    <xf numFmtId="164" fontId="5" fillId="2" borderId="14" xfId="1" applyNumberFormat="1" applyFont="1" applyFill="1" applyBorder="1" applyAlignment="1">
      <alignment horizontal="left" vertical="top" indent="1"/>
    </xf>
    <xf numFmtId="164" fontId="5" fillId="2" borderId="15" xfId="1" applyNumberFormat="1" applyFont="1" applyFill="1" applyBorder="1" applyAlignment="1">
      <alignment horizontal="left" vertical="top" indent="1"/>
    </xf>
    <xf numFmtId="0" fontId="11" fillId="0" borderId="0" xfId="1" applyFont="1" applyBorder="1" applyAlignment="1">
      <alignment horizontal="right" vertical="center" textRotation="90"/>
    </xf>
    <xf numFmtId="0" fontId="10" fillId="2" borderId="14" xfId="1" applyFont="1" applyFill="1" applyBorder="1" applyAlignment="1">
      <alignment horizontal="left" vertical="top" indent="1"/>
    </xf>
    <xf numFmtId="0" fontId="10" fillId="2" borderId="15" xfId="1" applyFont="1" applyFill="1" applyBorder="1" applyAlignment="1">
      <alignment horizontal="left" vertical="top" indent="1"/>
    </xf>
    <xf numFmtId="49" fontId="8" fillId="2" borderId="24" xfId="1" applyNumberFormat="1" applyFont="1" applyFill="1" applyBorder="1" applyAlignment="1">
      <alignment horizontal="left" indent="1"/>
    </xf>
    <xf numFmtId="49" fontId="8" fillId="2" borderId="25" xfId="1" applyNumberFormat="1" applyFont="1" applyFill="1" applyBorder="1" applyAlignment="1">
      <alignment horizontal="left" indent="1"/>
    </xf>
    <xf numFmtId="49" fontId="8" fillId="2" borderId="26" xfId="1" applyNumberFormat="1" applyFont="1" applyFill="1" applyBorder="1" applyAlignment="1">
      <alignment horizontal="left" indent="1"/>
    </xf>
    <xf numFmtId="49" fontId="8" fillId="2" borderId="27" xfId="1" applyNumberFormat="1" applyFont="1" applyFill="1" applyBorder="1" applyAlignment="1">
      <alignment horizontal="left" indent="1"/>
    </xf>
    <xf numFmtId="0" fontId="12" fillId="3" borderId="10" xfId="1" applyFont="1" applyFill="1" applyBorder="1" applyAlignment="1">
      <alignment horizontal="left" indent="1"/>
    </xf>
    <xf numFmtId="0" fontId="12" fillId="3" borderId="11" xfId="1" applyFont="1" applyFill="1" applyBorder="1" applyAlignment="1">
      <alignment horizontal="left" indent="1"/>
    </xf>
    <xf numFmtId="0" fontId="12" fillId="3" borderId="12" xfId="1" applyFont="1" applyFill="1" applyBorder="1" applyAlignment="1">
      <alignment horizontal="left" indent="1"/>
    </xf>
    <xf numFmtId="0" fontId="12" fillId="3" borderId="13" xfId="1" applyFont="1" applyFill="1" applyBorder="1" applyAlignment="1">
      <alignment horizontal="left" indent="1"/>
    </xf>
    <xf numFmtId="0" fontId="9" fillId="0" borderId="10" xfId="3" applyBorder="1" applyAlignment="1">
      <alignment horizontal="left" vertical="center"/>
    </xf>
    <xf numFmtId="0" fontId="9" fillId="0" borderId="0" xfId="3" applyAlignment="1">
      <alignment horizontal="left" vertical="center"/>
    </xf>
    <xf numFmtId="0" fontId="9" fillId="0" borderId="28" xfId="3" applyBorder="1" applyAlignment="1">
      <alignment horizontal="left" vertical="center"/>
    </xf>
    <xf numFmtId="0" fontId="1" fillId="0" borderId="29" xfId="1" applyFont="1" applyBorder="1"/>
    <xf numFmtId="0" fontId="1" fillId="0" borderId="4" xfId="1" applyFont="1" applyBorder="1"/>
    <xf numFmtId="164" fontId="13" fillId="0" borderId="3" xfId="1" applyNumberFormat="1" applyFont="1" applyFill="1" applyBorder="1" applyAlignment="1">
      <alignment horizontal="left" vertical="center" wrapText="1" indent="1"/>
    </xf>
    <xf numFmtId="0" fontId="14" fillId="0" borderId="30" xfId="4" applyFill="1" applyBorder="1" applyAlignment="1">
      <alignment vertical="top"/>
    </xf>
    <xf numFmtId="0" fontId="3" fillId="0" borderId="2" xfId="1" applyFont="1" applyBorder="1" applyAlignment="1">
      <alignment horizontal="center"/>
    </xf>
    <xf numFmtId="0" fontId="3" fillId="0" borderId="0" xfId="1" applyFont="1" applyBorder="1" applyAlignment="1">
      <alignment horizontal="right" vertical="center"/>
    </xf>
    <xf numFmtId="0" fontId="1" fillId="0" borderId="10" xfId="1" applyFont="1" applyBorder="1"/>
    <xf numFmtId="164" fontId="15" fillId="0" borderId="0" xfId="1" applyNumberFormat="1" applyFont="1" applyFill="1" applyBorder="1" applyAlignment="1">
      <alignment horizontal="center" vertical="center" wrapText="1"/>
    </xf>
    <xf numFmtId="0" fontId="14" fillId="0" borderId="28" xfId="4" applyFill="1" applyBorder="1" applyAlignment="1">
      <alignment vertical="top"/>
    </xf>
    <xf numFmtId="0" fontId="16" fillId="0" borderId="0" xfId="1" applyFont="1" applyAlignment="1">
      <alignment vertical="center" wrapText="1"/>
    </xf>
    <xf numFmtId="0" fontId="6" fillId="0" borderId="31" xfId="1" applyFont="1" applyBorder="1" applyAlignment="1">
      <alignment horizontal="left"/>
    </xf>
    <xf numFmtId="0" fontId="6" fillId="0" borderId="32" xfId="1" applyFont="1" applyBorder="1" applyAlignment="1">
      <alignment horizontal="left"/>
    </xf>
    <xf numFmtId="0" fontId="9" fillId="0" borderId="33" xfId="2" applyBorder="1" applyAlignment="1">
      <alignment vertical="top"/>
    </xf>
    <xf numFmtId="0" fontId="14" fillId="0" borderId="28" xfId="4" applyFill="1" applyBorder="1" applyAlignment="1">
      <alignment vertical="top"/>
    </xf>
    <xf numFmtId="0" fontId="17" fillId="0" borderId="0" xfId="1" applyFont="1" applyAlignment="1">
      <alignment vertical="center" wrapText="1"/>
    </xf>
    <xf numFmtId="0" fontId="18" fillId="0" borderId="34" xfId="5" applyFill="1" applyBorder="1" applyAlignment="1">
      <alignment horizontal="center" vertical="center"/>
    </xf>
    <xf numFmtId="0" fontId="18" fillId="0" borderId="35" xfId="5" applyBorder="1" applyAlignment="1">
      <alignment horizontal="left" vertical="center"/>
    </xf>
    <xf numFmtId="0" fontId="18" fillId="0" borderId="36" xfId="5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0" fontId="18" fillId="0" borderId="37" xfId="5" applyFill="1" applyBorder="1" applyAlignment="1">
      <alignment horizontal="center" vertical="center"/>
    </xf>
    <xf numFmtId="0" fontId="18" fillId="0" borderId="38" xfId="5" applyBorder="1" applyAlignment="1">
      <alignment horizontal="left" vertical="center"/>
    </xf>
    <xf numFmtId="0" fontId="18" fillId="0" borderId="33" xfId="5" applyBorder="1" applyAlignment="1">
      <alignment horizontal="left" vertical="center"/>
    </xf>
    <xf numFmtId="0" fontId="1" fillId="0" borderId="39" xfId="1" applyFont="1" applyBorder="1"/>
    <xf numFmtId="0" fontId="1" fillId="0" borderId="40" xfId="1" applyFont="1" applyBorder="1"/>
    <xf numFmtId="0" fontId="1" fillId="0" borderId="41" xfId="1" applyFont="1" applyBorder="1"/>
    <xf numFmtId="0" fontId="14" fillId="0" borderId="30" xfId="4" applyFill="1" applyBorder="1" applyAlignment="1">
      <alignment vertical="center" textRotation="90"/>
    </xf>
    <xf numFmtId="0" fontId="14" fillId="0" borderId="28" xfId="4" applyFill="1" applyBorder="1" applyAlignment="1">
      <alignment vertical="center" textRotation="90"/>
    </xf>
    <xf numFmtId="0" fontId="18" fillId="0" borderId="42" xfId="5" applyBorder="1" applyAlignment="1">
      <alignment horizontal="center" vertical="center"/>
    </xf>
    <xf numFmtId="0" fontId="18" fillId="0" borderId="43" xfId="5" applyBorder="1" applyAlignment="1">
      <alignment horizontal="center" vertical="center"/>
    </xf>
  </cellXfs>
  <cellStyles count="6">
    <cellStyle name="Heading 1 2" xfId="4"/>
    <cellStyle name="Heading 2 2" xfId="5"/>
    <cellStyle name="Heading 3 2" xfId="3"/>
    <cellStyle name="Heading 4 2" xfId="2"/>
    <cellStyle name="Normal" xfId="0" builtinId="0"/>
    <cellStyle name="Normal 2" xfId="1"/>
  </cellStyles>
  <dxfs count="48"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3"/>
  <sheetViews>
    <sheetView showGridLines="0" tabSelected="1" zoomScaleNormal="100" zoomScalePageLayoutView="84" workbookViewId="0">
      <selection activeCell="P16" sqref="P16"/>
    </sheetView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" width="60.7109375" style="2" customWidth="1"/>
    <col min="17" max="16384" width="8.7109375" style="1"/>
  </cols>
  <sheetData>
    <row r="1" spans="1:16" ht="11.25" customHeight="1" x14ac:dyDescent="0.2"/>
    <row r="2" spans="1:16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72">
        <f ca="1">YEAR(TODAY())</f>
        <v>2016</v>
      </c>
      <c r="P2" s="67" t="s">
        <v>26</v>
      </c>
    </row>
    <row r="3" spans="1:16" ht="21" customHeight="1" x14ac:dyDescent="0.2">
      <c r="A3" s="53"/>
      <c r="B3" s="66" t="s">
        <v>25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68"/>
      <c r="P3" s="67"/>
    </row>
    <row r="4" spans="1:16" ht="18" customHeight="1" x14ac:dyDescent="0.2">
      <c r="A4" s="53"/>
      <c r="B4" s="66"/>
      <c r="C4" s="60">
        <f ca="1">IF(DAY(JanSun1)=1,JanSun1-6,JanSun1+1)</f>
        <v>42365</v>
      </c>
      <c r="D4" s="60">
        <f ca="1">IF(DAY(JanSun1)=1,JanSun1-5,JanSun1+2)</f>
        <v>42366</v>
      </c>
      <c r="E4" s="60">
        <f ca="1">IF(DAY(JanSun1)=1,JanSun1-4,JanSun1+3)</f>
        <v>42367</v>
      </c>
      <c r="F4" s="60">
        <f ca="1">IF(DAY(JanSun1)=1,JanSun1-3,JanSun1+4)</f>
        <v>42368</v>
      </c>
      <c r="G4" s="60">
        <f ca="1">IF(DAY(JanSun1)=1,JanSun1-2,JanSun1+5)</f>
        <v>42369</v>
      </c>
      <c r="H4" s="60">
        <f ca="1">IF(DAY(JanSun1)=1,JanSun1-1,JanSun1+6)</f>
        <v>42370</v>
      </c>
      <c r="I4" s="60">
        <f ca="1">IF(DAY(JanSun1)=1,JanSun1,JanSun1+7)</f>
        <v>42371</v>
      </c>
      <c r="J4" s="59"/>
      <c r="K4" s="65" t="s">
        <v>15</v>
      </c>
      <c r="L4" s="30">
        <v>4</v>
      </c>
      <c r="M4" s="64" t="s">
        <v>19</v>
      </c>
      <c r="N4" s="63"/>
      <c r="P4" s="62"/>
    </row>
    <row r="5" spans="1:16" ht="18" customHeight="1" x14ac:dyDescent="0.2">
      <c r="A5" s="53"/>
      <c r="B5" s="61"/>
      <c r="C5" s="60">
        <f ca="1">IF(DAY(JanSun1)=1,JanSun1+1,JanSun1+8)</f>
        <v>42372</v>
      </c>
      <c r="D5" s="60">
        <f ca="1">IF(DAY(JanSun1)=1,JanSun1+2,JanSun1+9)</f>
        <v>42373</v>
      </c>
      <c r="E5" s="60">
        <f ca="1">IF(DAY(JanSun1)=1,JanSun1+3,JanSun1+10)</f>
        <v>42374</v>
      </c>
      <c r="F5" s="60">
        <f ca="1">IF(DAY(JanSun1)=1,JanSun1+4,JanSun1+11)</f>
        <v>42375</v>
      </c>
      <c r="G5" s="60">
        <f ca="1">IF(DAY(JanSun1)=1,JanSun1+5,JanSun1+12)</f>
        <v>42376</v>
      </c>
      <c r="H5" s="60">
        <f ca="1">IF(DAY(JanSun1)=1,JanSun1+6,JanSun1+13)</f>
        <v>42377</v>
      </c>
      <c r="I5" s="60">
        <f ca="1">IF(DAY(JanSun1)=1,JanSun1+7,JanSun1+14)</f>
        <v>42378</v>
      </c>
      <c r="J5" s="59"/>
      <c r="K5" s="25"/>
      <c r="L5" s="14"/>
      <c r="M5" s="13"/>
      <c r="N5" s="12"/>
      <c r="P5" s="62"/>
    </row>
    <row r="6" spans="1:16" ht="18" customHeight="1" x14ac:dyDescent="0.2">
      <c r="A6" s="53"/>
      <c r="B6" s="61"/>
      <c r="C6" s="60">
        <f ca="1">IF(DAY(JanSun1)=1,JanSun1+8,JanSun1+15)</f>
        <v>42379</v>
      </c>
      <c r="D6" s="60">
        <f ca="1">IF(DAY(JanSun1)=1,JanSun1+9,JanSun1+16)</f>
        <v>42380</v>
      </c>
      <c r="E6" s="60">
        <f ca="1">IF(DAY(JanSun1)=1,JanSun1+10,JanSun1+17)</f>
        <v>42381</v>
      </c>
      <c r="F6" s="60">
        <f ca="1">IF(DAY(JanSun1)=1,JanSun1+11,JanSun1+18)</f>
        <v>42382</v>
      </c>
      <c r="G6" s="60">
        <f ca="1">IF(DAY(JanSun1)=1,JanSun1+12,JanSun1+19)</f>
        <v>42383</v>
      </c>
      <c r="H6" s="60">
        <f ca="1">IF(DAY(JanSun1)=1,JanSun1+13,JanSun1+20)</f>
        <v>42384</v>
      </c>
      <c r="I6" s="60">
        <f ca="1">IF(DAY(JanSun1)=1,JanSun1+14,JanSun1+21)</f>
        <v>42385</v>
      </c>
      <c r="J6" s="59"/>
      <c r="K6" s="25"/>
      <c r="L6" s="14"/>
      <c r="M6" s="13"/>
      <c r="N6" s="12"/>
    </row>
    <row r="7" spans="1:16" ht="18" customHeight="1" x14ac:dyDescent="0.2">
      <c r="A7" s="53"/>
      <c r="B7" s="61"/>
      <c r="C7" s="60">
        <f ca="1">IF(DAY(JanSun1)=1,JanSun1+15,JanSun1+22)</f>
        <v>42386</v>
      </c>
      <c r="D7" s="60">
        <f ca="1">IF(DAY(JanSun1)=1,JanSun1+16,JanSun1+23)</f>
        <v>42387</v>
      </c>
      <c r="E7" s="60">
        <f ca="1">IF(DAY(JanSun1)=1,JanSun1+17,JanSun1+24)</f>
        <v>42388</v>
      </c>
      <c r="F7" s="60">
        <f ca="1">IF(DAY(JanSun1)=1,JanSun1+18,JanSun1+25)</f>
        <v>42389</v>
      </c>
      <c r="G7" s="60">
        <f ca="1">IF(DAY(JanSun1)=1,JanSun1+19,JanSun1+26)</f>
        <v>42390</v>
      </c>
      <c r="H7" s="60">
        <f ca="1">IF(DAY(JanSun1)=1,JanSun1+20,JanSun1+27)</f>
        <v>42391</v>
      </c>
      <c r="I7" s="60">
        <f ca="1">IF(DAY(JanSun1)=1,JanSun1+21,JanSun1+28)</f>
        <v>42392</v>
      </c>
      <c r="J7" s="59"/>
      <c r="K7" s="39"/>
      <c r="L7" s="14"/>
      <c r="M7" s="13"/>
      <c r="N7" s="12"/>
    </row>
    <row r="8" spans="1:16" ht="18.75" customHeight="1" x14ac:dyDescent="0.2">
      <c r="A8" s="53"/>
      <c r="B8" s="61"/>
      <c r="C8" s="60">
        <f ca="1">IF(DAY(JanSun1)=1,JanSun1+22,JanSun1+29)</f>
        <v>42393</v>
      </c>
      <c r="D8" s="60">
        <f ca="1">IF(DAY(JanSun1)=1,JanSun1+23,JanSun1+30)</f>
        <v>42394</v>
      </c>
      <c r="E8" s="60">
        <f ca="1">IF(DAY(JanSun1)=1,JanSun1+24,JanSun1+31)</f>
        <v>42395</v>
      </c>
      <c r="F8" s="60">
        <f ca="1">IF(DAY(JanSun1)=1,JanSun1+25,JanSun1+32)</f>
        <v>42396</v>
      </c>
      <c r="G8" s="60">
        <f ca="1">IF(DAY(JanSun1)=1,JanSun1+26,JanSun1+33)</f>
        <v>42397</v>
      </c>
      <c r="H8" s="60">
        <f ca="1">IF(DAY(JanSun1)=1,JanSun1+27,JanSun1+34)</f>
        <v>42398</v>
      </c>
      <c r="I8" s="60">
        <f ca="1">IF(DAY(JanSun1)=1,JanSun1+28,JanSun1+35)</f>
        <v>42399</v>
      </c>
      <c r="J8" s="59"/>
      <c r="K8" s="39"/>
      <c r="L8" s="14"/>
      <c r="M8" s="13"/>
      <c r="N8" s="12"/>
    </row>
    <row r="9" spans="1:16" ht="18" customHeight="1" x14ac:dyDescent="0.2">
      <c r="A9" s="53"/>
      <c r="B9" s="61"/>
      <c r="C9" s="60">
        <f ca="1">IF(DAY(JanSun1)=1,JanSun1+29,JanSun1+36)</f>
        <v>42400</v>
      </c>
      <c r="D9" s="60">
        <f ca="1">IF(DAY(JanSun1)=1,JanSun1+30,JanSun1+37)</f>
        <v>42401</v>
      </c>
      <c r="E9" s="60">
        <f ca="1">IF(DAY(JanSun1)=1,JanSun1+31,JanSun1+38)</f>
        <v>42402</v>
      </c>
      <c r="F9" s="60">
        <f ca="1">IF(DAY(JanSun1)=1,JanSun1+32,JanSun1+39)</f>
        <v>42403</v>
      </c>
      <c r="G9" s="60">
        <f ca="1">IF(DAY(JanSun1)=1,JanSun1+33,JanSun1+40)</f>
        <v>42404</v>
      </c>
      <c r="H9" s="60">
        <f ca="1">IF(DAY(JanSun1)=1,JanSun1+34,JanSun1+41)</f>
        <v>42405</v>
      </c>
      <c r="I9" s="60">
        <f ca="1">IF(DAY(JanSun1)=1,JanSun1+35,JanSun1+42)</f>
        <v>42406</v>
      </c>
      <c r="J9" s="59"/>
      <c r="K9" s="58"/>
      <c r="L9" s="57"/>
      <c r="M9" s="34"/>
      <c r="N9" s="33"/>
    </row>
    <row r="10" spans="1:16" ht="18" customHeight="1" x14ac:dyDescent="0.2">
      <c r="A10" s="53"/>
      <c r="B10" s="56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>
        <v>19</v>
      </c>
      <c r="M10" s="29" t="s">
        <v>17</v>
      </c>
      <c r="N10" s="28"/>
    </row>
    <row r="11" spans="1:16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6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6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6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6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6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4">
    <mergeCell ref="M18:N18"/>
    <mergeCell ref="M19:N19"/>
    <mergeCell ref="M20:N20"/>
    <mergeCell ref="M12:N12"/>
    <mergeCell ref="M13:N13"/>
    <mergeCell ref="M14:N14"/>
    <mergeCell ref="M15:N15"/>
    <mergeCell ref="M16:N16"/>
    <mergeCell ref="M17:N17"/>
    <mergeCell ref="N2:N3"/>
    <mergeCell ref="C19:D19"/>
    <mergeCell ref="C20:D20"/>
    <mergeCell ref="C21:D21"/>
    <mergeCell ref="C22:D22"/>
    <mergeCell ref="C23:D23"/>
    <mergeCell ref="C14:D14"/>
    <mergeCell ref="C15:D15"/>
    <mergeCell ref="K16:K18"/>
    <mergeCell ref="K22:K25"/>
    <mergeCell ref="M6:N6"/>
    <mergeCell ref="M7:N7"/>
    <mergeCell ref="M8:N8"/>
    <mergeCell ref="M9:N9"/>
    <mergeCell ref="M10:N10"/>
    <mergeCell ref="M11:N11"/>
    <mergeCell ref="K28:K30"/>
    <mergeCell ref="I13:J13"/>
    <mergeCell ref="G13:H13"/>
    <mergeCell ref="E13:F13"/>
    <mergeCell ref="C13:D13"/>
    <mergeCell ref="K2:M3"/>
    <mergeCell ref="K10:K12"/>
    <mergeCell ref="K4:K6"/>
    <mergeCell ref="M4:N4"/>
    <mergeCell ref="M5:N5"/>
    <mergeCell ref="C32:D32"/>
    <mergeCell ref="C33:D33"/>
    <mergeCell ref="C24:D24"/>
    <mergeCell ref="C25:D25"/>
    <mergeCell ref="C26:D26"/>
    <mergeCell ref="C27:D27"/>
    <mergeCell ref="C28:D28"/>
    <mergeCell ref="C16:D16"/>
    <mergeCell ref="C17:D17"/>
    <mergeCell ref="C18:D18"/>
    <mergeCell ref="C29:D29"/>
    <mergeCell ref="C30:D30"/>
    <mergeCell ref="C31:D31"/>
    <mergeCell ref="E28:F28"/>
    <mergeCell ref="E27:F27"/>
    <mergeCell ref="E26:F26"/>
    <mergeCell ref="E25:F25"/>
    <mergeCell ref="E24:F24"/>
    <mergeCell ref="E33:F33"/>
    <mergeCell ref="E32:F32"/>
    <mergeCell ref="E31:F31"/>
    <mergeCell ref="E30:F30"/>
    <mergeCell ref="E29:F29"/>
    <mergeCell ref="E18:F18"/>
    <mergeCell ref="E17:F17"/>
    <mergeCell ref="E16:F16"/>
    <mergeCell ref="E15:F15"/>
    <mergeCell ref="E14:F14"/>
    <mergeCell ref="E23:F23"/>
    <mergeCell ref="E22:F22"/>
    <mergeCell ref="E21:F21"/>
    <mergeCell ref="E20:F20"/>
    <mergeCell ref="E19:F19"/>
    <mergeCell ref="G14:H14"/>
    <mergeCell ref="I14:J14"/>
    <mergeCell ref="G15:H15"/>
    <mergeCell ref="I15:J15"/>
    <mergeCell ref="G16:H16"/>
    <mergeCell ref="I16:J16"/>
    <mergeCell ref="G20:H20"/>
    <mergeCell ref="G21:H21"/>
    <mergeCell ref="I19:J19"/>
    <mergeCell ref="I20:J20"/>
    <mergeCell ref="I21:J21"/>
    <mergeCell ref="G17:H17"/>
    <mergeCell ref="I17:J17"/>
    <mergeCell ref="G18:H18"/>
    <mergeCell ref="I18:J18"/>
    <mergeCell ref="G19:H19"/>
    <mergeCell ref="I22:J22"/>
    <mergeCell ref="I23:J23"/>
    <mergeCell ref="G22:H22"/>
    <mergeCell ref="G23:H23"/>
    <mergeCell ref="G24:H24"/>
    <mergeCell ref="I24:J24"/>
    <mergeCell ref="I25:J25"/>
    <mergeCell ref="I26:J26"/>
    <mergeCell ref="I27:J27"/>
    <mergeCell ref="I28:J28"/>
    <mergeCell ref="I29:J29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I30:J30"/>
    <mergeCell ref="I31:J31"/>
    <mergeCell ref="I32:J32"/>
    <mergeCell ref="I33:J33"/>
    <mergeCell ref="M30:N30"/>
    <mergeCell ref="M21:N21"/>
    <mergeCell ref="M22:N22"/>
    <mergeCell ref="M23:N23"/>
    <mergeCell ref="M24:N24"/>
    <mergeCell ref="M25:N25"/>
    <mergeCell ref="B3:B4"/>
    <mergeCell ref="P2:P3"/>
    <mergeCell ref="B11:J12"/>
    <mergeCell ref="M31:N31"/>
    <mergeCell ref="M32:N32"/>
    <mergeCell ref="M33:N33"/>
    <mergeCell ref="M26:N26"/>
    <mergeCell ref="M27:N27"/>
    <mergeCell ref="M28:N28"/>
    <mergeCell ref="M29:N29"/>
  </mergeCells>
  <conditionalFormatting sqref="C4:H4">
    <cfRule type="expression" dxfId="47" priority="3" stopIfTrue="1">
      <formula>DAY(C4)&gt;8</formula>
    </cfRule>
  </conditionalFormatting>
  <conditionalFormatting sqref="C8:I10">
    <cfRule type="expression" dxfId="46" priority="2" stopIfTrue="1">
      <formula>AND(DAY(C8)&gt;=1,DAY(C8)&lt;=15)</formula>
    </cfRule>
  </conditionalFormatting>
  <conditionalFormatting sqref="C4:I9">
    <cfRule type="expression" dxfId="45" priority="4">
      <formula>VLOOKUP(DAY(C4),AssignmentDays,1,FALSE)=DAY(C4)</formula>
    </cfRule>
  </conditionalFormatting>
  <conditionalFormatting sqref="B14:J33">
    <cfRule type="expression" dxfId="44" priority="1">
      <formula>B14&lt;&gt;""</formula>
    </cfRule>
  </conditionalFormatting>
  <dataValidations count="1">
    <dataValidation allowBlank="1" showInputMessage="1" showErrorMessage="1" errorTitle="Invalid Year" error="Enter a year from 1900 to 9999, or use the scroll bar to find a year." sqref="N2"/>
  </dataValidations>
  <printOptions horizontalCentered="1" verticalCentered="1"/>
  <pageMargins left="0.5" right="0.5" top="0.5" bottom="0.5" header="0.3" footer="0.3"/>
  <pageSetup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28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IF(DAY(FebSun1)=1,FebSun1-6,FebSun1+1)</f>
        <v>42400</v>
      </c>
      <c r="D4" s="60">
        <f ca="1">IF(DAY(FebSun1)=1,FebSun1-5,FebSun1+2)</f>
        <v>42401</v>
      </c>
      <c r="E4" s="60">
        <f ca="1">IF(DAY(FebSun1)=1,FebSun1-4,FebSun1+3)</f>
        <v>42402</v>
      </c>
      <c r="F4" s="60">
        <f ca="1">IF(DAY(FebSun1)=1,FebSun1-3,FebSun1+4)</f>
        <v>42403</v>
      </c>
      <c r="G4" s="60">
        <f ca="1">IF(DAY(FebSun1)=1,FebSun1-2,FebSun1+5)</f>
        <v>42404</v>
      </c>
      <c r="H4" s="60">
        <f ca="1">IF(DAY(FebSun1)=1,FebSun1-1,FebSun1+6)</f>
        <v>42405</v>
      </c>
      <c r="I4" s="60">
        <f ca="1">IF(DAY(FebSun1)=1,FebSun1,FebSun1+7)</f>
        <v>42406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IF(DAY(FebSun1)=1,FebSun1+1,FebSun1+8)</f>
        <v>42407</v>
      </c>
      <c r="D5" s="60">
        <f ca="1">IF(DAY(FebSun1)=1,FebSun1+2,FebSun1+9)</f>
        <v>42408</v>
      </c>
      <c r="E5" s="60">
        <f ca="1">IF(DAY(FebSun1)=1,FebSun1+3,FebSun1+10)</f>
        <v>42409</v>
      </c>
      <c r="F5" s="60">
        <f ca="1">IF(DAY(FebSun1)=1,FebSun1+4,FebSun1+11)</f>
        <v>42410</v>
      </c>
      <c r="G5" s="60">
        <f ca="1">IF(DAY(FebSun1)=1,FebSun1+5,FebSun1+12)</f>
        <v>42411</v>
      </c>
      <c r="H5" s="60">
        <f ca="1">IF(DAY(FebSun1)=1,FebSun1+6,FebSun1+13)</f>
        <v>42412</v>
      </c>
      <c r="I5" s="60">
        <f ca="1">IF(DAY(FebSun1)=1,FebSun1+7,FebSun1+14)</f>
        <v>42413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IF(DAY(FebSun1)=1,FebSun1+8,FebSun1+15)</f>
        <v>42414</v>
      </c>
      <c r="D6" s="60">
        <f ca="1">IF(DAY(FebSun1)=1,FebSun1+9,FebSun1+16)</f>
        <v>42415</v>
      </c>
      <c r="E6" s="60">
        <f ca="1">IF(DAY(FebSun1)=1,FebSun1+10,FebSun1+17)</f>
        <v>42416</v>
      </c>
      <c r="F6" s="60">
        <f ca="1">IF(DAY(FebSun1)=1,FebSun1+11,FebSun1+18)</f>
        <v>42417</v>
      </c>
      <c r="G6" s="60">
        <f ca="1">IF(DAY(FebSun1)=1,FebSun1+12,FebSun1+19)</f>
        <v>42418</v>
      </c>
      <c r="H6" s="60">
        <f ca="1">IF(DAY(FebSun1)=1,FebSun1+13,FebSun1+20)</f>
        <v>42419</v>
      </c>
      <c r="I6" s="60">
        <f ca="1">IF(DAY(FebSun1)=1,FebSun1+14,FebSun1+21)</f>
        <v>42420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IF(DAY(FebSun1)=1,FebSun1+15,FebSun1+22)</f>
        <v>42421</v>
      </c>
      <c r="D7" s="60">
        <f ca="1">IF(DAY(FebSun1)=1,FebSun1+16,FebSun1+23)</f>
        <v>42422</v>
      </c>
      <c r="E7" s="60">
        <f ca="1">IF(DAY(FebSun1)=1,FebSun1+17,FebSun1+24)</f>
        <v>42423</v>
      </c>
      <c r="F7" s="60">
        <f ca="1">IF(DAY(FebSun1)=1,FebSun1+18,FebSun1+25)</f>
        <v>42424</v>
      </c>
      <c r="G7" s="60">
        <f ca="1">IF(DAY(FebSun1)=1,FebSun1+19,FebSun1+26)</f>
        <v>42425</v>
      </c>
      <c r="H7" s="60">
        <f ca="1">IF(DAY(FebSun1)=1,FebSun1+20,FebSun1+27)</f>
        <v>42426</v>
      </c>
      <c r="I7" s="60">
        <f ca="1">IF(DAY(FebSun1)=1,FebSun1+21,FebSun1+28)</f>
        <v>42427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IF(DAY(FebSun1)=1,FebSun1+22,FebSun1+29)</f>
        <v>42428</v>
      </c>
      <c r="D8" s="60">
        <f ca="1">IF(DAY(FebSun1)=1,FebSun1+23,FebSun1+30)</f>
        <v>42429</v>
      </c>
      <c r="E8" s="60">
        <f ca="1">IF(DAY(FebSun1)=1,FebSun1+24,FebSun1+31)</f>
        <v>42430</v>
      </c>
      <c r="F8" s="60">
        <f ca="1">IF(DAY(FebSun1)=1,FebSun1+25,FebSun1+32)</f>
        <v>42431</v>
      </c>
      <c r="G8" s="60">
        <f ca="1">IF(DAY(FebSun1)=1,FebSun1+26,FebSun1+33)</f>
        <v>42432</v>
      </c>
      <c r="H8" s="60">
        <f ca="1">IF(DAY(FebSun1)=1,FebSun1+27,FebSun1+34)</f>
        <v>42433</v>
      </c>
      <c r="I8" s="60">
        <f ca="1">IF(DAY(FebSun1)=1,FebSun1+28,FebSun1+35)</f>
        <v>42434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IF(DAY(FebSun1)=1,FebSun1+29,FebSun1+36)</f>
        <v>42435</v>
      </c>
      <c r="D9" s="60">
        <f ca="1">IF(DAY(FebSun1)=1,FebSun1+30,FebSun1+37)</f>
        <v>42436</v>
      </c>
      <c r="E9" s="60">
        <f ca="1">IF(DAY(FebSun1)=1,FebSun1+31,FebSun1+38)</f>
        <v>42437</v>
      </c>
      <c r="F9" s="60">
        <f ca="1">IF(DAY(FebSun1)=1,FebSun1+32,FebSun1+39)</f>
        <v>42438</v>
      </c>
      <c r="G9" s="60">
        <f ca="1">IF(DAY(FebSun1)=1,FebSun1+33,FebSun1+40)</f>
        <v>42439</v>
      </c>
      <c r="H9" s="60">
        <f ca="1">IF(DAY(FebSun1)=1,FebSun1+34,FebSun1+41)</f>
        <v>42440</v>
      </c>
      <c r="I9" s="60">
        <f ca="1">IF(DAY(FebSun1)=1,FebSun1+35,FebSun1+42)</f>
        <v>42441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43" priority="3" stopIfTrue="1">
      <formula>DAY(C4)&gt;8</formula>
    </cfRule>
  </conditionalFormatting>
  <conditionalFormatting sqref="C8:I10">
    <cfRule type="expression" dxfId="42" priority="2" stopIfTrue="1">
      <formula>AND(DAY(C8)&gt;=1,DAY(C8)&lt;=15)</formula>
    </cfRule>
  </conditionalFormatting>
  <conditionalFormatting sqref="C4:I9">
    <cfRule type="expression" dxfId="41" priority="4">
      <formula>VLOOKUP(DAY(C4),AssignmentDays,1,FALSE)=DAY(C4)</formula>
    </cfRule>
  </conditionalFormatting>
  <conditionalFormatting sqref="B14:J33">
    <cfRule type="expression" dxfId="40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29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IF(DAY(MarSun1)=1,MarSun1-6,MarSun1+1)</f>
        <v>42428</v>
      </c>
      <c r="D4" s="60">
        <f ca="1">IF(DAY(MarSun1)=1,MarSun1-5,MarSun1+2)</f>
        <v>42429</v>
      </c>
      <c r="E4" s="60">
        <f ca="1">IF(DAY(MarSun1)=1,MarSun1-4,MarSun1+3)</f>
        <v>42430</v>
      </c>
      <c r="F4" s="60">
        <f ca="1">IF(DAY(MarSun1)=1,MarSun1-3,MarSun1+4)</f>
        <v>42431</v>
      </c>
      <c r="G4" s="60">
        <f ca="1">IF(DAY(MarSun1)=1,MarSun1-2,MarSun1+5)</f>
        <v>42432</v>
      </c>
      <c r="H4" s="60">
        <f ca="1">IF(DAY(MarSun1)=1,MarSun1-1,MarSun1+6)</f>
        <v>42433</v>
      </c>
      <c r="I4" s="60">
        <f ca="1">IF(DAY(MarSun1)=1,MarSun1,MarSun1+7)</f>
        <v>42434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IF(DAY(MarSun1)=1,MarSun1+1,MarSun1+8)</f>
        <v>42435</v>
      </c>
      <c r="D5" s="60">
        <f ca="1">IF(DAY(MarSun1)=1,MarSun1+2,MarSun1+9)</f>
        <v>42436</v>
      </c>
      <c r="E5" s="60">
        <f ca="1">IF(DAY(MarSun1)=1,MarSun1+3,MarSun1+10)</f>
        <v>42437</v>
      </c>
      <c r="F5" s="60">
        <f ca="1">IF(DAY(MarSun1)=1,MarSun1+4,MarSun1+11)</f>
        <v>42438</v>
      </c>
      <c r="G5" s="60">
        <f ca="1">IF(DAY(MarSun1)=1,MarSun1+5,MarSun1+12)</f>
        <v>42439</v>
      </c>
      <c r="H5" s="60">
        <f ca="1">IF(DAY(MarSun1)=1,MarSun1+6,MarSun1+13)</f>
        <v>42440</v>
      </c>
      <c r="I5" s="60">
        <f ca="1">IF(DAY(MarSun1)=1,MarSun1+7,MarSun1+14)</f>
        <v>42441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IF(DAY(MarSun1)=1,MarSun1+8,MarSun1+15)</f>
        <v>42442</v>
      </c>
      <c r="D6" s="60">
        <f ca="1">IF(DAY(MarSun1)=1,MarSun1+9,MarSun1+16)</f>
        <v>42443</v>
      </c>
      <c r="E6" s="60">
        <f ca="1">IF(DAY(MarSun1)=1,MarSun1+10,MarSun1+17)</f>
        <v>42444</v>
      </c>
      <c r="F6" s="60">
        <f ca="1">IF(DAY(MarSun1)=1,MarSun1+11,MarSun1+18)</f>
        <v>42445</v>
      </c>
      <c r="G6" s="60">
        <f ca="1">IF(DAY(MarSun1)=1,MarSun1+12,MarSun1+19)</f>
        <v>42446</v>
      </c>
      <c r="H6" s="60">
        <f ca="1">IF(DAY(MarSun1)=1,MarSun1+13,MarSun1+20)</f>
        <v>42447</v>
      </c>
      <c r="I6" s="60">
        <f ca="1">IF(DAY(MarSun1)=1,MarSun1+14,MarSun1+21)</f>
        <v>42448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IF(DAY(MarSun1)=1,MarSun1+15,MarSun1+22)</f>
        <v>42449</v>
      </c>
      <c r="D7" s="60">
        <f ca="1">IF(DAY(MarSun1)=1,MarSun1+16,MarSun1+23)</f>
        <v>42450</v>
      </c>
      <c r="E7" s="60">
        <f ca="1">IF(DAY(MarSun1)=1,MarSun1+17,MarSun1+24)</f>
        <v>42451</v>
      </c>
      <c r="F7" s="60">
        <f ca="1">IF(DAY(MarSun1)=1,MarSun1+18,MarSun1+25)</f>
        <v>42452</v>
      </c>
      <c r="G7" s="60">
        <f ca="1">IF(DAY(MarSun1)=1,MarSun1+19,MarSun1+26)</f>
        <v>42453</v>
      </c>
      <c r="H7" s="60">
        <f ca="1">IF(DAY(MarSun1)=1,MarSun1+20,MarSun1+27)</f>
        <v>42454</v>
      </c>
      <c r="I7" s="60">
        <f ca="1">IF(DAY(MarSun1)=1,MarSun1+21,MarSun1+28)</f>
        <v>42455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IF(DAY(MarSun1)=1,MarSun1+22,MarSun1+29)</f>
        <v>42456</v>
      </c>
      <c r="D8" s="60">
        <f ca="1">IF(DAY(MarSun1)=1,MarSun1+23,MarSun1+30)</f>
        <v>42457</v>
      </c>
      <c r="E8" s="60">
        <f ca="1">IF(DAY(MarSun1)=1,MarSun1+24,MarSun1+31)</f>
        <v>42458</v>
      </c>
      <c r="F8" s="60">
        <f ca="1">IF(DAY(MarSun1)=1,MarSun1+25,MarSun1+32)</f>
        <v>42459</v>
      </c>
      <c r="G8" s="60">
        <f ca="1">IF(DAY(MarSun1)=1,MarSun1+26,MarSun1+33)</f>
        <v>42460</v>
      </c>
      <c r="H8" s="60">
        <f ca="1">IF(DAY(MarSun1)=1,MarSun1+27,MarSun1+34)</f>
        <v>42461</v>
      </c>
      <c r="I8" s="60">
        <f ca="1">IF(DAY(MarSun1)=1,MarSun1+28,MarSun1+35)</f>
        <v>42462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IF(DAY(MarSun1)=1,MarSun1+29,MarSun1+36)</f>
        <v>42463</v>
      </c>
      <c r="D9" s="60">
        <f ca="1">IF(DAY(MarSun1)=1,MarSun1+30,MarSun1+37)</f>
        <v>42464</v>
      </c>
      <c r="E9" s="60">
        <f ca="1">IF(DAY(MarSun1)=1,MarSun1+31,MarSun1+38)</f>
        <v>42465</v>
      </c>
      <c r="F9" s="60">
        <f ca="1">IF(DAY(MarSun1)=1,MarSun1+32,MarSun1+39)</f>
        <v>42466</v>
      </c>
      <c r="G9" s="60">
        <f ca="1">IF(DAY(MarSun1)=1,MarSun1+33,MarSun1+40)</f>
        <v>42467</v>
      </c>
      <c r="H9" s="60">
        <f ca="1">IF(DAY(MarSun1)=1,MarSun1+34,MarSun1+41)</f>
        <v>42468</v>
      </c>
      <c r="I9" s="60">
        <f ca="1">IF(DAY(MarSun1)=1,MarSun1+35,MarSun1+42)</f>
        <v>42469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39" priority="3" stopIfTrue="1">
      <formula>DAY(C4)&gt;8</formula>
    </cfRule>
  </conditionalFormatting>
  <conditionalFormatting sqref="C8:I10">
    <cfRule type="expression" dxfId="38" priority="2" stopIfTrue="1">
      <formula>AND(DAY(C8)&gt;=1,DAY(C8)&lt;=15)</formula>
    </cfRule>
  </conditionalFormatting>
  <conditionalFormatting sqref="C4:I9">
    <cfRule type="expression" dxfId="37" priority="4">
      <formula>VLOOKUP(DAY(C4),AssignmentDays,1,FALSE)=DAY(C4)</formula>
    </cfRule>
  </conditionalFormatting>
  <conditionalFormatting sqref="B14:J33">
    <cfRule type="expression" dxfId="36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30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IF(DAY(AprSun1)=1,AprSun1-6,AprSun1+1)</f>
        <v>42456</v>
      </c>
      <c r="D4" s="60">
        <f ca="1">IF(DAY(AprSun1)=1,AprSun1-5,AprSun1+2)</f>
        <v>42457</v>
      </c>
      <c r="E4" s="60">
        <f ca="1">IF(DAY(AprSun1)=1,AprSun1-4,AprSun1+3)</f>
        <v>42458</v>
      </c>
      <c r="F4" s="60">
        <f ca="1">IF(DAY(AprSun1)=1,AprSun1-3,AprSun1+4)</f>
        <v>42459</v>
      </c>
      <c r="G4" s="60">
        <f ca="1">IF(DAY(AprSun1)=1,AprSun1-2,AprSun1+5)</f>
        <v>42460</v>
      </c>
      <c r="H4" s="60">
        <f ca="1">IF(DAY(AprSun1)=1,AprSun1-1,AprSun1+6)</f>
        <v>42461</v>
      </c>
      <c r="I4" s="60">
        <f ca="1">IF(DAY(AprSun1)=1,AprSun1,AprSun1+7)</f>
        <v>42462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IF(DAY(AprSun1)=1,AprSun1+1,AprSun1+8)</f>
        <v>42463</v>
      </c>
      <c r="D5" s="60">
        <f ca="1">IF(DAY(AprSun1)=1,AprSun1+2,AprSun1+9)</f>
        <v>42464</v>
      </c>
      <c r="E5" s="60">
        <f ca="1">IF(DAY(AprSun1)=1,AprSun1+3,AprSun1+10)</f>
        <v>42465</v>
      </c>
      <c r="F5" s="60">
        <f ca="1">IF(DAY(AprSun1)=1,AprSun1+4,AprSun1+11)</f>
        <v>42466</v>
      </c>
      <c r="G5" s="60">
        <f ca="1">IF(DAY(AprSun1)=1,AprSun1+5,AprSun1+12)</f>
        <v>42467</v>
      </c>
      <c r="H5" s="60">
        <f ca="1">IF(DAY(AprSun1)=1,AprSun1+6,AprSun1+13)</f>
        <v>42468</v>
      </c>
      <c r="I5" s="60">
        <f ca="1">IF(DAY(AprSun1)=1,AprSun1+7,AprSun1+14)</f>
        <v>42469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IF(DAY(AprSun1)=1,AprSun1+8,AprSun1+15)</f>
        <v>42470</v>
      </c>
      <c r="D6" s="60">
        <f ca="1">IF(DAY(AprSun1)=1,AprSun1+9,AprSun1+16)</f>
        <v>42471</v>
      </c>
      <c r="E6" s="60">
        <f ca="1">IF(DAY(AprSun1)=1,AprSun1+10,AprSun1+17)</f>
        <v>42472</v>
      </c>
      <c r="F6" s="60">
        <f ca="1">IF(DAY(AprSun1)=1,AprSun1+11,AprSun1+18)</f>
        <v>42473</v>
      </c>
      <c r="G6" s="60">
        <f ca="1">IF(DAY(AprSun1)=1,AprSun1+12,AprSun1+19)</f>
        <v>42474</v>
      </c>
      <c r="H6" s="60">
        <f ca="1">IF(DAY(AprSun1)=1,AprSun1+13,AprSun1+20)</f>
        <v>42475</v>
      </c>
      <c r="I6" s="60">
        <f ca="1">IF(DAY(AprSun1)=1,AprSun1+14,AprSun1+21)</f>
        <v>42476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IF(DAY(AprSun1)=1,AprSun1+15,AprSun1+22)</f>
        <v>42477</v>
      </c>
      <c r="D7" s="60">
        <f ca="1">IF(DAY(AprSun1)=1,AprSun1+16,AprSun1+23)</f>
        <v>42478</v>
      </c>
      <c r="E7" s="60">
        <f ca="1">IF(DAY(AprSun1)=1,AprSun1+17,AprSun1+24)</f>
        <v>42479</v>
      </c>
      <c r="F7" s="60">
        <f ca="1">IF(DAY(AprSun1)=1,AprSun1+18,AprSun1+25)</f>
        <v>42480</v>
      </c>
      <c r="G7" s="60">
        <f ca="1">IF(DAY(AprSun1)=1,AprSun1+19,AprSun1+26)</f>
        <v>42481</v>
      </c>
      <c r="H7" s="60">
        <f ca="1">IF(DAY(AprSun1)=1,AprSun1+20,AprSun1+27)</f>
        <v>42482</v>
      </c>
      <c r="I7" s="60">
        <f ca="1">IF(DAY(AprSun1)=1,AprSun1+21,AprSun1+28)</f>
        <v>42483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IF(DAY(AprSun1)=1,AprSun1+22,AprSun1+29)</f>
        <v>42484</v>
      </c>
      <c r="D8" s="60">
        <f ca="1">IF(DAY(AprSun1)=1,AprSun1+23,AprSun1+30)</f>
        <v>42485</v>
      </c>
      <c r="E8" s="60">
        <f ca="1">IF(DAY(AprSun1)=1,AprSun1+24,AprSun1+31)</f>
        <v>42486</v>
      </c>
      <c r="F8" s="60">
        <f ca="1">IF(DAY(AprSun1)=1,AprSun1+25,AprSun1+32)</f>
        <v>42487</v>
      </c>
      <c r="G8" s="60">
        <f ca="1">IF(DAY(AprSun1)=1,AprSun1+26,AprSun1+33)</f>
        <v>42488</v>
      </c>
      <c r="H8" s="60">
        <f ca="1">IF(DAY(AprSun1)=1,AprSun1+27,AprSun1+34)</f>
        <v>42489</v>
      </c>
      <c r="I8" s="60">
        <f ca="1">IF(DAY(AprSun1)=1,AprSun1+28,AprSun1+35)</f>
        <v>42490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IF(DAY(AprSun1)=1,AprSun1+29,AprSun1+36)</f>
        <v>42491</v>
      </c>
      <c r="D9" s="60">
        <f ca="1">IF(DAY(AprSun1)=1,AprSun1+30,AprSun1+37)</f>
        <v>42492</v>
      </c>
      <c r="E9" s="60">
        <f ca="1">IF(DAY(AprSun1)=1,AprSun1+31,AprSun1+38)</f>
        <v>42493</v>
      </c>
      <c r="F9" s="60">
        <f ca="1">IF(DAY(AprSun1)=1,AprSun1+32,AprSun1+39)</f>
        <v>42494</v>
      </c>
      <c r="G9" s="60">
        <f ca="1">IF(DAY(AprSun1)=1,AprSun1+33,AprSun1+40)</f>
        <v>42495</v>
      </c>
      <c r="H9" s="60">
        <f ca="1">IF(DAY(AprSun1)=1,AprSun1+34,AprSun1+41)</f>
        <v>42496</v>
      </c>
      <c r="I9" s="60">
        <f ca="1">IF(DAY(AprSun1)=1,AprSun1+35,AprSun1+42)</f>
        <v>42497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35" priority="3" stopIfTrue="1">
      <formula>DAY(C4)&gt;8</formula>
    </cfRule>
  </conditionalFormatting>
  <conditionalFormatting sqref="C8:I10">
    <cfRule type="expression" dxfId="34" priority="2" stopIfTrue="1">
      <formula>AND(DAY(C8)&gt;=1,DAY(C8)&lt;=15)</formula>
    </cfRule>
  </conditionalFormatting>
  <conditionalFormatting sqref="C4:I9">
    <cfRule type="expression" dxfId="33" priority="4">
      <formula>VLOOKUP(DAY(C4),AssignmentDays,1,FALSE)=DAY(C4)</formula>
    </cfRule>
  </conditionalFormatting>
  <conditionalFormatting sqref="B14:J33">
    <cfRule type="expression" dxfId="32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31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IF(DAY(MaySun1)=1,MaySun1-6,MaySun1+1)</f>
        <v>42491</v>
      </c>
      <c r="D4" s="60">
        <f ca="1">IF(DAY(MaySun1)=1,MaySun1-5,MaySun1+2)</f>
        <v>42492</v>
      </c>
      <c r="E4" s="60">
        <f ca="1">IF(DAY(MaySun1)=1,MaySun1-4,MaySun1+3)</f>
        <v>42493</v>
      </c>
      <c r="F4" s="60">
        <f ca="1">IF(DAY(MaySun1)=1,MaySun1-3,MaySun1+4)</f>
        <v>42494</v>
      </c>
      <c r="G4" s="60">
        <f ca="1">IF(DAY(MaySun1)=1,MaySun1-2,MaySun1+5)</f>
        <v>42495</v>
      </c>
      <c r="H4" s="60">
        <f ca="1">IF(DAY(MaySun1)=1,MaySun1-1,MaySun1+6)</f>
        <v>42496</v>
      </c>
      <c r="I4" s="60">
        <f ca="1">IF(DAY(MaySun1)=1,MaySun1,MaySun1+7)</f>
        <v>42497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IF(DAY(MaySun1)=1,MaySun1+1,MaySun1+8)</f>
        <v>42498</v>
      </c>
      <c r="D5" s="60">
        <f ca="1">IF(DAY(MaySun1)=1,MaySun1+2,MaySun1+9)</f>
        <v>42499</v>
      </c>
      <c r="E5" s="60">
        <f ca="1">IF(DAY(MaySun1)=1,MaySun1+3,MaySun1+10)</f>
        <v>42500</v>
      </c>
      <c r="F5" s="60">
        <f ca="1">IF(DAY(MaySun1)=1,MaySun1+4,MaySun1+11)</f>
        <v>42501</v>
      </c>
      <c r="G5" s="60">
        <f ca="1">IF(DAY(MaySun1)=1,MaySun1+5,MaySun1+12)</f>
        <v>42502</v>
      </c>
      <c r="H5" s="60">
        <f ca="1">IF(DAY(MaySun1)=1,MaySun1+6,MaySun1+13)</f>
        <v>42503</v>
      </c>
      <c r="I5" s="60">
        <f ca="1">IF(DAY(MaySun1)=1,MaySun1+7,MaySun1+14)</f>
        <v>42504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IF(DAY(MaySun1)=1,MaySun1+8,MaySun1+15)</f>
        <v>42505</v>
      </c>
      <c r="D6" s="60">
        <f ca="1">IF(DAY(MaySun1)=1,MaySun1+9,MaySun1+16)</f>
        <v>42506</v>
      </c>
      <c r="E6" s="60">
        <f ca="1">IF(DAY(MaySun1)=1,MaySun1+10,MaySun1+17)</f>
        <v>42507</v>
      </c>
      <c r="F6" s="60">
        <f ca="1">IF(DAY(MaySun1)=1,MaySun1+11,MaySun1+18)</f>
        <v>42508</v>
      </c>
      <c r="G6" s="60">
        <f ca="1">IF(DAY(MaySun1)=1,MaySun1+12,MaySun1+19)</f>
        <v>42509</v>
      </c>
      <c r="H6" s="60">
        <f ca="1">IF(DAY(MaySun1)=1,MaySun1+13,MaySun1+20)</f>
        <v>42510</v>
      </c>
      <c r="I6" s="60">
        <f ca="1">IF(DAY(MaySun1)=1,MaySun1+14,MaySun1+21)</f>
        <v>42511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IF(DAY(MaySun1)=1,MaySun1+15,MaySun1+22)</f>
        <v>42512</v>
      </c>
      <c r="D7" s="60">
        <f ca="1">IF(DAY(MaySun1)=1,MaySun1+16,MaySun1+23)</f>
        <v>42513</v>
      </c>
      <c r="E7" s="60">
        <f ca="1">IF(DAY(MaySun1)=1,MaySun1+17,MaySun1+24)</f>
        <v>42514</v>
      </c>
      <c r="F7" s="60">
        <f ca="1">IF(DAY(MaySun1)=1,MaySun1+18,MaySun1+25)</f>
        <v>42515</v>
      </c>
      <c r="G7" s="60">
        <f ca="1">IF(DAY(MaySun1)=1,MaySun1+19,MaySun1+26)</f>
        <v>42516</v>
      </c>
      <c r="H7" s="60">
        <f ca="1">IF(DAY(MaySun1)=1,MaySun1+20,MaySun1+27)</f>
        <v>42517</v>
      </c>
      <c r="I7" s="60">
        <f ca="1">IF(DAY(MaySun1)=1,MaySun1+21,MaySun1+28)</f>
        <v>42518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IF(DAY(MaySun1)=1,MaySun1+22,MaySun1+29)</f>
        <v>42519</v>
      </c>
      <c r="D8" s="60">
        <f ca="1">IF(DAY(MaySun1)=1,MaySun1+23,MaySun1+30)</f>
        <v>42520</v>
      </c>
      <c r="E8" s="60">
        <f ca="1">IF(DAY(MaySun1)=1,MaySun1+24,MaySun1+31)</f>
        <v>42521</v>
      </c>
      <c r="F8" s="60">
        <f ca="1">IF(DAY(MaySun1)=1,MaySun1+25,MaySun1+32)</f>
        <v>42522</v>
      </c>
      <c r="G8" s="60">
        <f ca="1">IF(DAY(MaySun1)=1,MaySun1+26,MaySun1+33)</f>
        <v>42523</v>
      </c>
      <c r="H8" s="60">
        <f ca="1">IF(DAY(MaySun1)=1,MaySun1+27,MaySun1+34)</f>
        <v>42524</v>
      </c>
      <c r="I8" s="60">
        <f ca="1">IF(DAY(MaySun1)=1,MaySun1+28,MaySun1+35)</f>
        <v>42525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IF(DAY(MaySun1)=1,MaySun1+29,MaySun1+36)</f>
        <v>42526</v>
      </c>
      <c r="D9" s="60">
        <f ca="1">IF(DAY(MaySun1)=1,MaySun1+30,MaySun1+37)</f>
        <v>42527</v>
      </c>
      <c r="E9" s="60">
        <f ca="1">IF(DAY(MaySun1)=1,MaySun1+31,MaySun1+38)</f>
        <v>42528</v>
      </c>
      <c r="F9" s="60">
        <f ca="1">IF(DAY(MaySun1)=1,MaySun1+32,MaySun1+39)</f>
        <v>42529</v>
      </c>
      <c r="G9" s="60">
        <f ca="1">IF(DAY(MaySun1)=1,MaySun1+33,MaySun1+40)</f>
        <v>42530</v>
      </c>
      <c r="H9" s="60">
        <f ca="1">IF(DAY(MaySun1)=1,MaySun1+34,MaySun1+41)</f>
        <v>42531</v>
      </c>
      <c r="I9" s="60">
        <f ca="1">IF(DAY(MaySun1)=1,MaySun1+35,MaySun1+42)</f>
        <v>42532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31" priority="3" stopIfTrue="1">
      <formula>DAY(C4)&gt;8</formula>
    </cfRule>
  </conditionalFormatting>
  <conditionalFormatting sqref="C8:I10">
    <cfRule type="expression" dxfId="30" priority="2" stopIfTrue="1">
      <formula>AND(DAY(C8)&gt;=1,DAY(C8)&lt;=15)</formula>
    </cfRule>
  </conditionalFormatting>
  <conditionalFormatting sqref="C4:I9">
    <cfRule type="expression" dxfId="29" priority="4">
      <formula>VLOOKUP(DAY(C4),AssignmentDays,1,FALSE)=DAY(C4)</formula>
    </cfRule>
  </conditionalFormatting>
  <conditionalFormatting sqref="B14:J33">
    <cfRule type="expression" dxfId="28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32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IF(DAY(JunSun1)=1,JunSun1-6,JunSun1+1)</f>
        <v>42519</v>
      </c>
      <c r="D4" s="60">
        <f ca="1">IF(DAY(JunSun1)=1,JunSun1-5,JunSun1+2)</f>
        <v>42520</v>
      </c>
      <c r="E4" s="60">
        <f ca="1">IF(DAY(JunSun1)=1,JunSun1-4,JunSun1+3)</f>
        <v>42521</v>
      </c>
      <c r="F4" s="60">
        <f ca="1">IF(DAY(JunSun1)=1,JunSun1-3,JunSun1+4)</f>
        <v>42522</v>
      </c>
      <c r="G4" s="60">
        <f ca="1">IF(DAY(JunSun1)=1,JunSun1-2,JunSun1+5)</f>
        <v>42523</v>
      </c>
      <c r="H4" s="60">
        <f ca="1">IF(DAY(JunSun1)=1,JunSun1-1,JunSun1+6)</f>
        <v>42524</v>
      </c>
      <c r="I4" s="60">
        <f ca="1">IF(DAY(JunSun1)=1,JunSun1,JunSun1+7)</f>
        <v>42525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IF(DAY(JunSun1)=1,JunSun1+1,JunSun1+8)</f>
        <v>42526</v>
      </c>
      <c r="D5" s="60">
        <f ca="1">IF(DAY(JunSun1)=1,JunSun1+2,JunSun1+9)</f>
        <v>42527</v>
      </c>
      <c r="E5" s="60">
        <f ca="1">IF(DAY(JunSun1)=1,JunSun1+3,JunSun1+10)</f>
        <v>42528</v>
      </c>
      <c r="F5" s="60">
        <f ca="1">IF(DAY(JunSun1)=1,JunSun1+4,JunSun1+11)</f>
        <v>42529</v>
      </c>
      <c r="G5" s="60">
        <f ca="1">IF(DAY(JunSun1)=1,JunSun1+5,JunSun1+12)</f>
        <v>42530</v>
      </c>
      <c r="H5" s="60">
        <f ca="1">IF(DAY(JunSun1)=1,JunSun1+6,JunSun1+13)</f>
        <v>42531</v>
      </c>
      <c r="I5" s="60">
        <f ca="1">IF(DAY(JunSun1)=1,JunSun1+7,JunSun1+14)</f>
        <v>42532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IF(DAY(JunSun1)=1,JunSun1+8,JunSun1+15)</f>
        <v>42533</v>
      </c>
      <c r="D6" s="60">
        <f ca="1">IF(DAY(JunSun1)=1,JunSun1+9,JunSun1+16)</f>
        <v>42534</v>
      </c>
      <c r="E6" s="60">
        <f ca="1">IF(DAY(JunSun1)=1,JunSun1+10,JunSun1+17)</f>
        <v>42535</v>
      </c>
      <c r="F6" s="60">
        <f ca="1">IF(DAY(JunSun1)=1,JunSun1+11,JunSun1+18)</f>
        <v>42536</v>
      </c>
      <c r="G6" s="60">
        <f ca="1">IF(DAY(JunSun1)=1,JunSun1+12,JunSun1+19)</f>
        <v>42537</v>
      </c>
      <c r="H6" s="60">
        <f ca="1">IF(DAY(JunSun1)=1,JunSun1+13,JunSun1+20)</f>
        <v>42538</v>
      </c>
      <c r="I6" s="60">
        <f ca="1">IF(DAY(JunSun1)=1,JunSun1+14,JunSun1+21)</f>
        <v>42539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IF(DAY(JunSun1)=1,JunSun1+15,JunSun1+22)</f>
        <v>42540</v>
      </c>
      <c r="D7" s="60">
        <f ca="1">IF(DAY(JunSun1)=1,JunSun1+16,JunSun1+23)</f>
        <v>42541</v>
      </c>
      <c r="E7" s="60">
        <f ca="1">IF(DAY(JunSun1)=1,JunSun1+17,JunSun1+24)</f>
        <v>42542</v>
      </c>
      <c r="F7" s="60">
        <f ca="1">IF(DAY(JunSun1)=1,JunSun1+18,JunSun1+25)</f>
        <v>42543</v>
      </c>
      <c r="G7" s="60">
        <f ca="1">IF(DAY(JunSun1)=1,JunSun1+19,JunSun1+26)</f>
        <v>42544</v>
      </c>
      <c r="H7" s="60">
        <f ca="1">IF(DAY(JunSun1)=1,JunSun1+20,JunSun1+27)</f>
        <v>42545</v>
      </c>
      <c r="I7" s="60">
        <f ca="1">IF(DAY(JunSun1)=1,JunSun1+21,JunSun1+28)</f>
        <v>42546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IF(DAY(JunSun1)=1,JunSun1+22,JunSun1+29)</f>
        <v>42547</v>
      </c>
      <c r="D8" s="60">
        <f ca="1">IF(DAY(JunSun1)=1,JunSun1+23,JunSun1+30)</f>
        <v>42548</v>
      </c>
      <c r="E8" s="60">
        <f ca="1">IF(DAY(JunSun1)=1,JunSun1+24,JunSun1+31)</f>
        <v>42549</v>
      </c>
      <c r="F8" s="60">
        <f ca="1">IF(DAY(JunSun1)=1,JunSun1+25,JunSun1+32)</f>
        <v>42550</v>
      </c>
      <c r="G8" s="60">
        <f ca="1">IF(DAY(JunSun1)=1,JunSun1+26,JunSun1+33)</f>
        <v>42551</v>
      </c>
      <c r="H8" s="60">
        <f ca="1">IF(DAY(JunSun1)=1,JunSun1+27,JunSun1+34)</f>
        <v>42552</v>
      </c>
      <c r="I8" s="60">
        <f ca="1">IF(DAY(JunSun1)=1,JunSun1+28,JunSun1+35)</f>
        <v>42553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IF(DAY(JunSun1)=1,JunSun1+29,JunSun1+36)</f>
        <v>42554</v>
      </c>
      <c r="D9" s="60">
        <f ca="1">IF(DAY(JunSun1)=1,JunSun1+30,JunSun1+37)</f>
        <v>42555</v>
      </c>
      <c r="E9" s="60">
        <f ca="1">IF(DAY(JunSun1)=1,JunSun1+31,JunSun1+38)</f>
        <v>42556</v>
      </c>
      <c r="F9" s="60">
        <f ca="1">IF(DAY(JunSun1)=1,JunSun1+32,JunSun1+39)</f>
        <v>42557</v>
      </c>
      <c r="G9" s="60">
        <f ca="1">IF(DAY(JunSun1)=1,JunSun1+33,JunSun1+40)</f>
        <v>42558</v>
      </c>
      <c r="H9" s="60">
        <f ca="1">IF(DAY(JunSun1)=1,JunSun1+34,JunSun1+41)</f>
        <v>42559</v>
      </c>
      <c r="I9" s="60">
        <f ca="1">IF(DAY(JunSun1)=1,JunSun1+35,JunSun1+42)</f>
        <v>42560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27" priority="3" stopIfTrue="1">
      <formula>DAY(C4)&gt;8</formula>
    </cfRule>
  </conditionalFormatting>
  <conditionalFormatting sqref="C8:I10">
    <cfRule type="expression" dxfId="26" priority="2" stopIfTrue="1">
      <formula>AND(DAY(C8)&gt;=1,DAY(C8)&lt;=15)</formula>
    </cfRule>
  </conditionalFormatting>
  <conditionalFormatting sqref="C4:I9">
    <cfRule type="expression" dxfId="25" priority="4">
      <formula>VLOOKUP(DAY(C4),AssignmentDays,1,FALSE)=DAY(C4)</formula>
    </cfRule>
  </conditionalFormatting>
  <conditionalFormatting sqref="B14:J33">
    <cfRule type="expression" dxfId="24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33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IF(DAY(JulSun1)=1,JulSun1-6,JulSun1+1)</f>
        <v>42547</v>
      </c>
      <c r="D4" s="60">
        <f ca="1">IF(DAY(JulSun1)=1,JulSun1-5,JulSun1+2)</f>
        <v>42548</v>
      </c>
      <c r="E4" s="60">
        <f ca="1">IF(DAY(JulSun1)=1,JulSun1-4,JulSun1+3)</f>
        <v>42549</v>
      </c>
      <c r="F4" s="60">
        <f ca="1">IF(DAY(JulSun1)=1,JulSun1-3,JulSun1+4)</f>
        <v>42550</v>
      </c>
      <c r="G4" s="60">
        <f ca="1">IF(DAY(JulSun1)=1,JulSun1-2,JulSun1+5)</f>
        <v>42551</v>
      </c>
      <c r="H4" s="60">
        <f ca="1">IF(DAY(JulSun1)=1,JulSun1-1,JulSun1+6)</f>
        <v>42552</v>
      </c>
      <c r="I4" s="60">
        <f ca="1">IF(DAY(JulSun1)=1,JulSun1,JulSun1+7)</f>
        <v>42553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IF(DAY(JulSun1)=1,JulSun1+1,JulSun1+8)</f>
        <v>42554</v>
      </c>
      <c r="D5" s="60">
        <f ca="1">IF(DAY(JulSun1)=1,JulSun1+2,JulSun1+9)</f>
        <v>42555</v>
      </c>
      <c r="E5" s="60">
        <f ca="1">IF(DAY(JulSun1)=1,JulSun1+3,JulSun1+10)</f>
        <v>42556</v>
      </c>
      <c r="F5" s="60">
        <f ca="1">IF(DAY(JulSun1)=1,JulSun1+4,JulSun1+11)</f>
        <v>42557</v>
      </c>
      <c r="G5" s="60">
        <f ca="1">IF(DAY(JulSun1)=1,JulSun1+5,JulSun1+12)</f>
        <v>42558</v>
      </c>
      <c r="H5" s="60">
        <f ca="1">IF(DAY(JulSun1)=1,JulSun1+6,JulSun1+13)</f>
        <v>42559</v>
      </c>
      <c r="I5" s="60">
        <f ca="1">IF(DAY(JulSun1)=1,JulSun1+7,JulSun1+14)</f>
        <v>42560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IF(DAY(JulSun1)=1,JulSun1+8,JulSun1+15)</f>
        <v>42561</v>
      </c>
      <c r="D6" s="60">
        <f ca="1">IF(DAY(JulSun1)=1,JulSun1+9,JulSun1+16)</f>
        <v>42562</v>
      </c>
      <c r="E6" s="60">
        <f ca="1">IF(DAY(JulSun1)=1,JulSun1+10,JulSun1+17)</f>
        <v>42563</v>
      </c>
      <c r="F6" s="60">
        <f ca="1">IF(DAY(JulSun1)=1,JulSun1+11,JulSun1+18)</f>
        <v>42564</v>
      </c>
      <c r="G6" s="60">
        <f ca="1">IF(DAY(JulSun1)=1,JulSun1+12,JulSun1+19)</f>
        <v>42565</v>
      </c>
      <c r="H6" s="60">
        <f ca="1">IF(DAY(JulSun1)=1,JulSun1+13,JulSun1+20)</f>
        <v>42566</v>
      </c>
      <c r="I6" s="60">
        <f ca="1">IF(DAY(JulSun1)=1,JulSun1+14,JulSun1+21)</f>
        <v>42567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IF(DAY(JulSun1)=1,JulSun1+15,JulSun1+22)</f>
        <v>42568</v>
      </c>
      <c r="D7" s="60">
        <f ca="1">IF(DAY(JulSun1)=1,JulSun1+16,JulSun1+23)</f>
        <v>42569</v>
      </c>
      <c r="E7" s="60">
        <f ca="1">IF(DAY(JulSun1)=1,JulSun1+17,JulSun1+24)</f>
        <v>42570</v>
      </c>
      <c r="F7" s="60">
        <f ca="1">IF(DAY(JulSun1)=1,JulSun1+18,JulSun1+25)</f>
        <v>42571</v>
      </c>
      <c r="G7" s="60">
        <f ca="1">IF(DAY(JulSun1)=1,JulSun1+19,JulSun1+26)</f>
        <v>42572</v>
      </c>
      <c r="H7" s="60">
        <f ca="1">IF(DAY(JulSun1)=1,JulSun1+20,JulSun1+27)</f>
        <v>42573</v>
      </c>
      <c r="I7" s="60">
        <f ca="1">IF(DAY(JulSun1)=1,JulSun1+21,JulSun1+28)</f>
        <v>42574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IF(DAY(JulSun1)=1,JulSun1+22,JulSun1+29)</f>
        <v>42575</v>
      </c>
      <c r="D8" s="60">
        <f ca="1">IF(DAY(JulSun1)=1,JulSun1+23,JulSun1+30)</f>
        <v>42576</v>
      </c>
      <c r="E8" s="60">
        <f ca="1">IF(DAY(JulSun1)=1,JulSun1+24,JulSun1+31)</f>
        <v>42577</v>
      </c>
      <c r="F8" s="60">
        <f ca="1">IF(DAY(JulSun1)=1,JulSun1+25,JulSun1+32)</f>
        <v>42578</v>
      </c>
      <c r="G8" s="60">
        <f ca="1">IF(DAY(JulSun1)=1,JulSun1+26,JulSun1+33)</f>
        <v>42579</v>
      </c>
      <c r="H8" s="60">
        <f ca="1">IF(DAY(JulSun1)=1,JulSun1+27,JulSun1+34)</f>
        <v>42580</v>
      </c>
      <c r="I8" s="60">
        <f ca="1">IF(DAY(JulSun1)=1,JulSun1+28,JulSun1+35)</f>
        <v>42581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IF(DAY(JulSun1)=1,JulSun1+29,JulSun1+36)</f>
        <v>42582</v>
      </c>
      <c r="D9" s="60">
        <f ca="1">IF(DAY(JulSun1)=1,JulSun1+30,JulSun1+37)</f>
        <v>42583</v>
      </c>
      <c r="E9" s="60">
        <f ca="1">IF(DAY(JulSun1)=1,JulSun1+31,JulSun1+38)</f>
        <v>42584</v>
      </c>
      <c r="F9" s="60">
        <f ca="1">IF(DAY(JulSun1)=1,JulSun1+32,JulSun1+39)</f>
        <v>42585</v>
      </c>
      <c r="G9" s="60">
        <f ca="1">IF(DAY(JulSun1)=1,JulSun1+33,JulSun1+40)</f>
        <v>42586</v>
      </c>
      <c r="H9" s="60">
        <f ca="1">IF(DAY(JulSun1)=1,JulSun1+34,JulSun1+41)</f>
        <v>42587</v>
      </c>
      <c r="I9" s="60">
        <f ca="1">IF(DAY(JulSun1)=1,JulSun1+35,JulSun1+42)</f>
        <v>42588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23" priority="3" stopIfTrue="1">
      <formula>DAY(C4)&gt;8</formula>
    </cfRule>
  </conditionalFormatting>
  <conditionalFormatting sqref="C8:I10">
    <cfRule type="expression" dxfId="22" priority="2" stopIfTrue="1">
      <formula>AND(DAY(C8)&gt;=1,DAY(C8)&lt;=15)</formula>
    </cfRule>
  </conditionalFormatting>
  <conditionalFormatting sqref="C4:I9">
    <cfRule type="expression" dxfId="21" priority="4">
      <formula>VLOOKUP(DAY(C4),AssignmentDays,1,FALSE)=DAY(C4)</formula>
    </cfRule>
  </conditionalFormatting>
  <conditionalFormatting sqref="B14:J33">
    <cfRule type="expression" dxfId="20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34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IF(DAY(AugSun1)=1,AugSun1-6,AugSun1+1)</f>
        <v>42582</v>
      </c>
      <c r="D4" s="60">
        <f ca="1">IF(DAY(AugSun1)=1,AugSun1-5,AugSun1+2)</f>
        <v>42583</v>
      </c>
      <c r="E4" s="60">
        <f ca="1">IF(DAY(AugSun1)=1,AugSun1-4,AugSun1+3)</f>
        <v>42584</v>
      </c>
      <c r="F4" s="60">
        <f ca="1">IF(DAY(AugSun1)=1,AugSun1-3,AugSun1+4)</f>
        <v>42585</v>
      </c>
      <c r="G4" s="60">
        <f ca="1">IF(DAY(AugSun1)=1,AugSun1-2,AugSun1+5)</f>
        <v>42586</v>
      </c>
      <c r="H4" s="60">
        <f ca="1">IF(DAY(AugSun1)=1,AugSun1-1,AugSun1+6)</f>
        <v>42587</v>
      </c>
      <c r="I4" s="60">
        <f ca="1">IF(DAY(AugSun1)=1,AugSun1,AugSun1+7)</f>
        <v>42588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IF(DAY(AugSun1)=1,AugSun1+1,AugSun1+8)</f>
        <v>42589</v>
      </c>
      <c r="D5" s="60">
        <f ca="1">IF(DAY(AugSun1)=1,AugSun1+2,AugSun1+9)</f>
        <v>42590</v>
      </c>
      <c r="E5" s="60">
        <f ca="1">IF(DAY(AugSun1)=1,AugSun1+3,AugSun1+10)</f>
        <v>42591</v>
      </c>
      <c r="F5" s="60">
        <f ca="1">IF(DAY(AugSun1)=1,AugSun1+4,AugSun1+11)</f>
        <v>42592</v>
      </c>
      <c r="G5" s="60">
        <f ca="1">IF(DAY(AugSun1)=1,AugSun1+5,AugSun1+12)</f>
        <v>42593</v>
      </c>
      <c r="H5" s="60">
        <f ca="1">IF(DAY(AugSun1)=1,AugSun1+6,AugSun1+13)</f>
        <v>42594</v>
      </c>
      <c r="I5" s="60">
        <f ca="1">IF(DAY(AugSun1)=1,AugSun1+7,AugSun1+14)</f>
        <v>42595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IF(DAY(AugSun1)=1,AugSun1+8,AugSun1+15)</f>
        <v>42596</v>
      </c>
      <c r="D6" s="60">
        <f ca="1">IF(DAY(AugSun1)=1,AugSun1+9,AugSun1+16)</f>
        <v>42597</v>
      </c>
      <c r="E6" s="60">
        <f ca="1">IF(DAY(AugSun1)=1,AugSun1+10,AugSun1+17)</f>
        <v>42598</v>
      </c>
      <c r="F6" s="60">
        <f ca="1">IF(DAY(AugSun1)=1,AugSun1+11,AugSun1+18)</f>
        <v>42599</v>
      </c>
      <c r="G6" s="60">
        <f ca="1">IF(DAY(AugSun1)=1,AugSun1+12,AugSun1+19)</f>
        <v>42600</v>
      </c>
      <c r="H6" s="60">
        <f ca="1">IF(DAY(AugSun1)=1,AugSun1+13,AugSun1+20)</f>
        <v>42601</v>
      </c>
      <c r="I6" s="60">
        <f ca="1">IF(DAY(AugSun1)=1,AugSun1+14,AugSun1+21)</f>
        <v>42602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IF(DAY(AugSun1)=1,AugSun1+15,AugSun1+22)</f>
        <v>42603</v>
      </c>
      <c r="D7" s="60">
        <f ca="1">IF(DAY(AugSun1)=1,AugSun1+16,AugSun1+23)</f>
        <v>42604</v>
      </c>
      <c r="E7" s="60">
        <f ca="1">IF(DAY(AugSun1)=1,AugSun1+17,AugSun1+24)</f>
        <v>42605</v>
      </c>
      <c r="F7" s="60">
        <f ca="1">IF(DAY(AugSun1)=1,AugSun1+18,AugSun1+25)</f>
        <v>42606</v>
      </c>
      <c r="G7" s="60">
        <f ca="1">IF(DAY(AugSun1)=1,AugSun1+19,AugSun1+26)</f>
        <v>42607</v>
      </c>
      <c r="H7" s="60">
        <f ca="1">IF(DAY(AugSun1)=1,AugSun1+20,AugSun1+27)</f>
        <v>42608</v>
      </c>
      <c r="I7" s="60">
        <f ca="1">IF(DAY(AugSun1)=1,AugSun1+21,AugSun1+28)</f>
        <v>42609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IF(DAY(AugSun1)=1,AugSun1+22,AugSun1+29)</f>
        <v>42610</v>
      </c>
      <c r="D8" s="60">
        <f ca="1">IF(DAY(AugSun1)=1,AugSun1+23,AugSun1+30)</f>
        <v>42611</v>
      </c>
      <c r="E8" s="60">
        <f ca="1">IF(DAY(AugSun1)=1,AugSun1+24,AugSun1+31)</f>
        <v>42612</v>
      </c>
      <c r="F8" s="60">
        <f ca="1">IF(DAY(AugSun1)=1,AugSun1+25,AugSun1+32)</f>
        <v>42613</v>
      </c>
      <c r="G8" s="60">
        <f ca="1">IF(DAY(AugSun1)=1,AugSun1+26,AugSun1+33)</f>
        <v>42614</v>
      </c>
      <c r="H8" s="60">
        <f ca="1">IF(DAY(AugSun1)=1,AugSun1+27,AugSun1+34)</f>
        <v>42615</v>
      </c>
      <c r="I8" s="60">
        <f ca="1">IF(DAY(AugSun1)=1,AugSun1+28,AugSun1+35)</f>
        <v>42616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IF(DAY(AugSun1)=1,AugSun1+29,AugSun1+36)</f>
        <v>42617</v>
      </c>
      <c r="D9" s="60">
        <f ca="1">IF(DAY(AugSun1)=1,AugSun1+30,AugSun1+37)</f>
        <v>42618</v>
      </c>
      <c r="E9" s="60">
        <f ca="1">IF(DAY(AugSun1)=1,AugSun1+31,AugSun1+38)</f>
        <v>42619</v>
      </c>
      <c r="F9" s="60">
        <f ca="1">IF(DAY(AugSun1)=1,AugSun1+32,AugSun1+39)</f>
        <v>42620</v>
      </c>
      <c r="G9" s="60">
        <f ca="1">IF(DAY(AugSun1)=1,AugSun1+33,AugSun1+40)</f>
        <v>42621</v>
      </c>
      <c r="H9" s="60">
        <f ca="1">IF(DAY(AugSun1)=1,AugSun1+34,AugSun1+41)</f>
        <v>42622</v>
      </c>
      <c r="I9" s="60">
        <f ca="1">IF(DAY(AugSun1)=1,AugSun1+35,AugSun1+42)</f>
        <v>42623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19" priority="3" stopIfTrue="1">
      <formula>DAY(C4)&gt;8</formula>
    </cfRule>
  </conditionalFormatting>
  <conditionalFormatting sqref="C8:I10">
    <cfRule type="expression" dxfId="18" priority="2" stopIfTrue="1">
      <formula>AND(DAY(C8)&gt;=1,DAY(C8)&lt;=15)</formula>
    </cfRule>
  </conditionalFormatting>
  <conditionalFormatting sqref="C4:I9">
    <cfRule type="expression" dxfId="17" priority="4">
      <formula>VLOOKUP(DAY(C4),AssignmentDays,1,FALSE)=DAY(C4)</formula>
    </cfRule>
  </conditionalFormatting>
  <conditionalFormatting sqref="B14:J33">
    <cfRule type="expression" dxfId="16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35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IF(DAY(SepSun1)=1,SepSun1-6,SepSun1+1)</f>
        <v>42610</v>
      </c>
      <c r="D4" s="60">
        <f ca="1">IF(DAY(SepSun1)=1,SepSun1-5,SepSun1+2)</f>
        <v>42611</v>
      </c>
      <c r="E4" s="60">
        <f ca="1">IF(DAY(SepSun1)=1,SepSun1-4,SepSun1+3)</f>
        <v>42612</v>
      </c>
      <c r="F4" s="60">
        <f ca="1">IF(DAY(SepSun1)=1,SepSun1-3,SepSun1+4)</f>
        <v>42613</v>
      </c>
      <c r="G4" s="60">
        <f ca="1">IF(DAY(SepSun1)=1,SepSun1-2,SepSun1+5)</f>
        <v>42614</v>
      </c>
      <c r="H4" s="60">
        <f ca="1">IF(DAY(SepSun1)=1,SepSun1-1,SepSun1+6)</f>
        <v>42615</v>
      </c>
      <c r="I4" s="60">
        <f ca="1">IF(DAY(SepSun1)=1,SepSun1,SepSun1+7)</f>
        <v>42616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IF(DAY(SepSun1)=1,SepSun1+1,SepSun1+8)</f>
        <v>42617</v>
      </c>
      <c r="D5" s="60">
        <f ca="1">IF(DAY(SepSun1)=1,SepSun1+2,SepSun1+9)</f>
        <v>42618</v>
      </c>
      <c r="E5" s="60">
        <f ca="1">IF(DAY(SepSun1)=1,SepSun1+3,SepSun1+10)</f>
        <v>42619</v>
      </c>
      <c r="F5" s="60">
        <f ca="1">IF(DAY(SepSun1)=1,SepSun1+4,SepSun1+11)</f>
        <v>42620</v>
      </c>
      <c r="G5" s="60">
        <f ca="1">IF(DAY(SepSun1)=1,SepSun1+5,SepSun1+12)</f>
        <v>42621</v>
      </c>
      <c r="H5" s="60">
        <f ca="1">IF(DAY(SepSun1)=1,SepSun1+6,SepSun1+13)</f>
        <v>42622</v>
      </c>
      <c r="I5" s="60">
        <f ca="1">IF(DAY(SepSun1)=1,SepSun1+7,SepSun1+14)</f>
        <v>42623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IF(DAY(SepSun1)=1,SepSun1+8,SepSun1+15)</f>
        <v>42624</v>
      </c>
      <c r="D6" s="60">
        <f ca="1">IF(DAY(SepSun1)=1,SepSun1+9,SepSun1+16)</f>
        <v>42625</v>
      </c>
      <c r="E6" s="60">
        <f ca="1">IF(DAY(SepSun1)=1,SepSun1+10,SepSun1+17)</f>
        <v>42626</v>
      </c>
      <c r="F6" s="60">
        <f ca="1">IF(DAY(SepSun1)=1,SepSun1+11,SepSun1+18)</f>
        <v>42627</v>
      </c>
      <c r="G6" s="60">
        <f ca="1">IF(DAY(SepSun1)=1,SepSun1+12,SepSun1+19)</f>
        <v>42628</v>
      </c>
      <c r="H6" s="60">
        <f ca="1">IF(DAY(SepSun1)=1,SepSun1+13,SepSun1+20)</f>
        <v>42629</v>
      </c>
      <c r="I6" s="60">
        <f ca="1">IF(DAY(SepSun1)=1,SepSun1+14,SepSun1+21)</f>
        <v>42630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IF(DAY(SepSun1)=1,SepSun1+15,SepSun1+22)</f>
        <v>42631</v>
      </c>
      <c r="D7" s="60">
        <f ca="1">IF(DAY(SepSun1)=1,SepSun1+16,SepSun1+23)</f>
        <v>42632</v>
      </c>
      <c r="E7" s="60">
        <f ca="1">IF(DAY(SepSun1)=1,SepSun1+17,SepSun1+24)</f>
        <v>42633</v>
      </c>
      <c r="F7" s="60">
        <f ca="1">IF(DAY(SepSun1)=1,SepSun1+18,SepSun1+25)</f>
        <v>42634</v>
      </c>
      <c r="G7" s="60">
        <f ca="1">IF(DAY(SepSun1)=1,SepSun1+19,SepSun1+26)</f>
        <v>42635</v>
      </c>
      <c r="H7" s="60">
        <f ca="1">IF(DAY(SepSun1)=1,SepSun1+20,SepSun1+27)</f>
        <v>42636</v>
      </c>
      <c r="I7" s="60">
        <f ca="1">IF(DAY(SepSun1)=1,SepSun1+21,SepSun1+28)</f>
        <v>42637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IF(DAY(SepSun1)=1,SepSun1+22,SepSun1+29)</f>
        <v>42638</v>
      </c>
      <c r="D8" s="60">
        <f ca="1">IF(DAY(SepSun1)=1,SepSun1+23,SepSun1+30)</f>
        <v>42639</v>
      </c>
      <c r="E8" s="60">
        <f ca="1">IF(DAY(SepSun1)=1,SepSun1+24,SepSun1+31)</f>
        <v>42640</v>
      </c>
      <c r="F8" s="60">
        <f ca="1">IF(DAY(SepSun1)=1,SepSun1+25,SepSun1+32)</f>
        <v>42641</v>
      </c>
      <c r="G8" s="60">
        <f ca="1">IF(DAY(SepSun1)=1,SepSun1+26,SepSun1+33)</f>
        <v>42642</v>
      </c>
      <c r="H8" s="60">
        <f ca="1">IF(DAY(SepSun1)=1,SepSun1+27,SepSun1+34)</f>
        <v>42643</v>
      </c>
      <c r="I8" s="60">
        <f ca="1">IF(DAY(SepSun1)=1,SepSun1+28,SepSun1+35)</f>
        <v>42644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IF(DAY(SepSun1)=1,SepSun1+29,SepSun1+36)</f>
        <v>42645</v>
      </c>
      <c r="D9" s="60">
        <f ca="1">IF(DAY(SepSun1)=1,SepSun1+30,SepSun1+37)</f>
        <v>42646</v>
      </c>
      <c r="E9" s="60">
        <f ca="1">IF(DAY(SepSun1)=1,SepSun1+31,SepSun1+38)</f>
        <v>42647</v>
      </c>
      <c r="F9" s="60">
        <f ca="1">IF(DAY(SepSun1)=1,SepSun1+32,SepSun1+39)</f>
        <v>42648</v>
      </c>
      <c r="G9" s="60">
        <f ca="1">IF(DAY(SepSun1)=1,SepSun1+33,SepSun1+40)</f>
        <v>42649</v>
      </c>
      <c r="H9" s="60">
        <f ca="1">IF(DAY(SepSun1)=1,SepSun1+34,SepSun1+41)</f>
        <v>42650</v>
      </c>
      <c r="I9" s="60">
        <f ca="1">IF(DAY(SepSun1)=1,SepSun1+35,SepSun1+42)</f>
        <v>42651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15" priority="3" stopIfTrue="1">
      <formula>DAY(C4)&gt;8</formula>
    </cfRule>
  </conditionalFormatting>
  <conditionalFormatting sqref="C8:I10">
    <cfRule type="expression" dxfId="14" priority="2" stopIfTrue="1">
      <formula>AND(DAY(C8)&gt;=1,DAY(C8)&lt;=15)</formula>
    </cfRule>
  </conditionalFormatting>
  <conditionalFormatting sqref="C4:I9">
    <cfRule type="expression" dxfId="13" priority="4">
      <formula>VLOOKUP(DAY(C4),AssignmentDays,1,FALSE)=DAY(C4)</formula>
    </cfRule>
  </conditionalFormatting>
  <conditionalFormatting sqref="B14:J33">
    <cfRule type="expression" dxfId="12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36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IF(DAY(OctSun1)=1,OctSun1-6,OctSun1+1)</f>
        <v>42638</v>
      </c>
      <c r="D4" s="60">
        <f ca="1">IF(DAY(OctSun1)=1,OctSun1-5,OctSun1+2)</f>
        <v>42639</v>
      </c>
      <c r="E4" s="60">
        <f ca="1">IF(DAY(OctSun1)=1,OctSun1-4,OctSun1+3)</f>
        <v>42640</v>
      </c>
      <c r="F4" s="60">
        <f ca="1">IF(DAY(OctSun1)=1,OctSun1-3,OctSun1+4)</f>
        <v>42641</v>
      </c>
      <c r="G4" s="60">
        <f ca="1">IF(DAY(OctSun1)=1,OctSun1-2,OctSun1+5)</f>
        <v>42642</v>
      </c>
      <c r="H4" s="60">
        <f ca="1">IF(DAY(OctSun1)=1,OctSun1-1,OctSun1+6)</f>
        <v>42643</v>
      </c>
      <c r="I4" s="60">
        <f ca="1">IF(DAY(OctSun1)=1,OctSun1,OctSun1+7)</f>
        <v>42644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IF(DAY(OctSun1)=1,OctSun1+1,OctSun1+8)</f>
        <v>42645</v>
      </c>
      <c r="D5" s="60">
        <f ca="1">IF(DAY(OctSun1)=1,OctSun1+2,OctSun1+9)</f>
        <v>42646</v>
      </c>
      <c r="E5" s="60">
        <f ca="1">IF(DAY(OctSun1)=1,OctSun1+3,OctSun1+10)</f>
        <v>42647</v>
      </c>
      <c r="F5" s="60">
        <f ca="1">IF(DAY(OctSun1)=1,OctSun1+4,OctSun1+11)</f>
        <v>42648</v>
      </c>
      <c r="G5" s="60">
        <f ca="1">IF(DAY(OctSun1)=1,OctSun1+5,OctSun1+12)</f>
        <v>42649</v>
      </c>
      <c r="H5" s="60">
        <f ca="1">IF(DAY(OctSun1)=1,OctSun1+6,OctSun1+13)</f>
        <v>42650</v>
      </c>
      <c r="I5" s="60">
        <f ca="1">IF(DAY(OctSun1)=1,OctSun1+7,OctSun1+14)</f>
        <v>42651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IF(DAY(OctSun1)=1,OctSun1+8,OctSun1+15)</f>
        <v>42652</v>
      </c>
      <c r="D6" s="60">
        <f ca="1">IF(DAY(OctSun1)=1,OctSun1+9,OctSun1+16)</f>
        <v>42653</v>
      </c>
      <c r="E6" s="60">
        <f ca="1">IF(DAY(OctSun1)=1,OctSun1+10,OctSun1+17)</f>
        <v>42654</v>
      </c>
      <c r="F6" s="60">
        <f ca="1">IF(DAY(OctSun1)=1,OctSun1+11,OctSun1+18)</f>
        <v>42655</v>
      </c>
      <c r="G6" s="60">
        <f ca="1">IF(DAY(OctSun1)=1,OctSun1+12,OctSun1+19)</f>
        <v>42656</v>
      </c>
      <c r="H6" s="60">
        <f ca="1">IF(DAY(OctSun1)=1,OctSun1+13,OctSun1+20)</f>
        <v>42657</v>
      </c>
      <c r="I6" s="60">
        <f ca="1">IF(DAY(OctSun1)=1,OctSun1+14,OctSun1+21)</f>
        <v>42658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IF(DAY(OctSun1)=1,OctSun1+15,OctSun1+22)</f>
        <v>42659</v>
      </c>
      <c r="D7" s="60">
        <f ca="1">IF(DAY(OctSun1)=1,OctSun1+16,OctSun1+23)</f>
        <v>42660</v>
      </c>
      <c r="E7" s="60">
        <f ca="1">IF(DAY(OctSun1)=1,OctSun1+17,OctSun1+24)</f>
        <v>42661</v>
      </c>
      <c r="F7" s="60">
        <f ca="1">IF(DAY(OctSun1)=1,OctSun1+18,OctSun1+25)</f>
        <v>42662</v>
      </c>
      <c r="G7" s="60">
        <f ca="1">IF(DAY(OctSun1)=1,OctSun1+19,OctSun1+26)</f>
        <v>42663</v>
      </c>
      <c r="H7" s="60">
        <f ca="1">IF(DAY(OctSun1)=1,OctSun1+20,OctSun1+27)</f>
        <v>42664</v>
      </c>
      <c r="I7" s="60">
        <f ca="1">IF(DAY(OctSun1)=1,OctSun1+21,OctSun1+28)</f>
        <v>42665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IF(DAY(OctSun1)=1,OctSun1+22,OctSun1+29)</f>
        <v>42666</v>
      </c>
      <c r="D8" s="60">
        <f ca="1">IF(DAY(OctSun1)=1,OctSun1+23,OctSun1+30)</f>
        <v>42667</v>
      </c>
      <c r="E8" s="60">
        <f ca="1">IF(DAY(OctSun1)=1,OctSun1+24,OctSun1+31)</f>
        <v>42668</v>
      </c>
      <c r="F8" s="60">
        <f ca="1">IF(DAY(OctSun1)=1,OctSun1+25,OctSun1+32)</f>
        <v>42669</v>
      </c>
      <c r="G8" s="60">
        <f ca="1">IF(DAY(OctSun1)=1,OctSun1+26,OctSun1+33)</f>
        <v>42670</v>
      </c>
      <c r="H8" s="60">
        <f ca="1">IF(DAY(OctSun1)=1,OctSun1+27,OctSun1+34)</f>
        <v>42671</v>
      </c>
      <c r="I8" s="60">
        <f ca="1">IF(DAY(OctSun1)=1,OctSun1+28,OctSun1+35)</f>
        <v>42672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IF(DAY(OctSun1)=1,OctSun1+29,OctSun1+36)</f>
        <v>42673</v>
      </c>
      <c r="D9" s="60">
        <f ca="1">IF(DAY(OctSun1)=1,OctSun1+30,OctSun1+37)</f>
        <v>42674</v>
      </c>
      <c r="E9" s="60">
        <f ca="1">IF(DAY(OctSun1)=1,OctSun1+31,OctSun1+38)</f>
        <v>42675</v>
      </c>
      <c r="F9" s="60">
        <f ca="1">IF(DAY(OctSun1)=1,OctSun1+32,OctSun1+39)</f>
        <v>42676</v>
      </c>
      <c r="G9" s="60">
        <f ca="1">IF(DAY(OctSun1)=1,OctSun1+33,OctSun1+40)</f>
        <v>42677</v>
      </c>
      <c r="H9" s="60">
        <f ca="1">IF(DAY(OctSun1)=1,OctSun1+34,OctSun1+41)</f>
        <v>42678</v>
      </c>
      <c r="I9" s="60">
        <f ca="1">IF(DAY(OctSun1)=1,OctSun1+35,OctSun1+42)</f>
        <v>42679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11" priority="3" stopIfTrue="1">
      <formula>DAY(C4)&gt;8</formula>
    </cfRule>
  </conditionalFormatting>
  <conditionalFormatting sqref="C8:I10">
    <cfRule type="expression" dxfId="10" priority="2" stopIfTrue="1">
      <formula>AND(DAY(C8)&gt;=1,DAY(C8)&lt;=15)</formula>
    </cfRule>
  </conditionalFormatting>
  <conditionalFormatting sqref="C4:I9">
    <cfRule type="expression" dxfId="9" priority="4">
      <formula>VLOOKUP(DAY(C4),AssignmentDays,1,FALSE)=DAY(C4)</formula>
    </cfRule>
  </conditionalFormatting>
  <conditionalFormatting sqref="B14:J33">
    <cfRule type="expression" dxfId="8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37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IF(DAY(NovSun1)=1,NovSun1-6,NovSun1+1)</f>
        <v>42673</v>
      </c>
      <c r="D4" s="60">
        <f ca="1">IF(DAY(NovSun1)=1,NovSun1-5,NovSun1+2)</f>
        <v>42674</v>
      </c>
      <c r="E4" s="60">
        <f ca="1">IF(DAY(NovSun1)=1,NovSun1-4,NovSun1+3)</f>
        <v>42675</v>
      </c>
      <c r="F4" s="60">
        <f ca="1">IF(DAY(NovSun1)=1,NovSun1-3,NovSun1+4)</f>
        <v>42676</v>
      </c>
      <c r="G4" s="60">
        <f ca="1">IF(DAY(NovSun1)=1,NovSun1-2,NovSun1+5)</f>
        <v>42677</v>
      </c>
      <c r="H4" s="60">
        <f ca="1">IF(DAY(NovSun1)=1,NovSun1-1,NovSun1+6)</f>
        <v>42678</v>
      </c>
      <c r="I4" s="60">
        <f ca="1">IF(DAY(NovSun1)=1,NovSun1,NovSun1+7)</f>
        <v>42679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IF(DAY(NovSun1)=1,NovSun1+1,NovSun1+8)</f>
        <v>42680</v>
      </c>
      <c r="D5" s="60">
        <f ca="1">IF(DAY(NovSun1)=1,NovSun1+2,NovSun1+9)</f>
        <v>42681</v>
      </c>
      <c r="E5" s="60">
        <f ca="1">IF(DAY(NovSun1)=1,NovSun1+3,NovSun1+10)</f>
        <v>42682</v>
      </c>
      <c r="F5" s="60">
        <f ca="1">IF(DAY(NovSun1)=1,NovSun1+4,NovSun1+11)</f>
        <v>42683</v>
      </c>
      <c r="G5" s="60">
        <f ca="1">IF(DAY(NovSun1)=1,NovSun1+5,NovSun1+12)</f>
        <v>42684</v>
      </c>
      <c r="H5" s="60">
        <f ca="1">IF(DAY(NovSun1)=1,NovSun1+6,NovSun1+13)</f>
        <v>42685</v>
      </c>
      <c r="I5" s="60">
        <f ca="1">IF(DAY(NovSun1)=1,NovSun1+7,NovSun1+14)</f>
        <v>42686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IF(DAY(NovSun1)=1,NovSun1+8,NovSun1+15)</f>
        <v>42687</v>
      </c>
      <c r="D6" s="60">
        <f ca="1">IF(DAY(NovSun1)=1,NovSun1+9,NovSun1+16)</f>
        <v>42688</v>
      </c>
      <c r="E6" s="60">
        <f ca="1">IF(DAY(NovSun1)=1,NovSun1+10,NovSun1+17)</f>
        <v>42689</v>
      </c>
      <c r="F6" s="60">
        <f ca="1">IF(DAY(NovSun1)=1,NovSun1+11,NovSun1+18)</f>
        <v>42690</v>
      </c>
      <c r="G6" s="60">
        <f ca="1">IF(DAY(NovSun1)=1,NovSun1+12,NovSun1+19)</f>
        <v>42691</v>
      </c>
      <c r="H6" s="60">
        <f ca="1">IF(DAY(NovSun1)=1,NovSun1+13,NovSun1+20)</f>
        <v>42692</v>
      </c>
      <c r="I6" s="60">
        <f ca="1">IF(DAY(NovSun1)=1,NovSun1+14,NovSun1+21)</f>
        <v>42693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IF(DAY(NovSun1)=1,NovSun1+15,NovSun1+22)</f>
        <v>42694</v>
      </c>
      <c r="D7" s="60">
        <f ca="1">IF(DAY(NovSun1)=1,NovSun1+16,NovSun1+23)</f>
        <v>42695</v>
      </c>
      <c r="E7" s="60">
        <f ca="1">IF(DAY(NovSun1)=1,NovSun1+17,NovSun1+24)</f>
        <v>42696</v>
      </c>
      <c r="F7" s="60">
        <f ca="1">IF(DAY(NovSun1)=1,NovSun1+18,NovSun1+25)</f>
        <v>42697</v>
      </c>
      <c r="G7" s="60">
        <f ca="1">IF(DAY(NovSun1)=1,NovSun1+19,NovSun1+26)</f>
        <v>42698</v>
      </c>
      <c r="H7" s="60">
        <f ca="1">IF(DAY(NovSun1)=1,NovSun1+20,NovSun1+27)</f>
        <v>42699</v>
      </c>
      <c r="I7" s="60">
        <f ca="1">IF(DAY(NovSun1)=1,NovSun1+21,NovSun1+28)</f>
        <v>42700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IF(DAY(NovSun1)=1,NovSun1+22,NovSun1+29)</f>
        <v>42701</v>
      </c>
      <c r="D8" s="60">
        <f ca="1">IF(DAY(NovSun1)=1,NovSun1+23,NovSun1+30)</f>
        <v>42702</v>
      </c>
      <c r="E8" s="60">
        <f ca="1">IF(DAY(NovSun1)=1,NovSun1+24,NovSun1+31)</f>
        <v>42703</v>
      </c>
      <c r="F8" s="60">
        <f ca="1">IF(DAY(NovSun1)=1,NovSun1+25,NovSun1+32)</f>
        <v>42704</v>
      </c>
      <c r="G8" s="60">
        <f ca="1">IF(DAY(NovSun1)=1,NovSun1+26,NovSun1+33)</f>
        <v>42705</v>
      </c>
      <c r="H8" s="60">
        <f ca="1">IF(DAY(NovSun1)=1,NovSun1+27,NovSun1+34)</f>
        <v>42706</v>
      </c>
      <c r="I8" s="60">
        <f ca="1">IF(DAY(NovSun1)=1,NovSun1+28,NovSun1+35)</f>
        <v>42707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IF(DAY(NovSun1)=1,NovSun1+29,NovSun1+36)</f>
        <v>42708</v>
      </c>
      <c r="D9" s="60">
        <f ca="1">IF(DAY(NovSun1)=1,NovSun1+30,NovSun1+37)</f>
        <v>42709</v>
      </c>
      <c r="E9" s="60">
        <f ca="1">IF(DAY(NovSun1)=1,NovSun1+31,NovSun1+38)</f>
        <v>42710</v>
      </c>
      <c r="F9" s="60">
        <f ca="1">IF(DAY(NovSun1)=1,NovSun1+32,NovSun1+39)</f>
        <v>42711</v>
      </c>
      <c r="G9" s="60">
        <f ca="1">IF(DAY(NovSun1)=1,NovSun1+33,NovSun1+40)</f>
        <v>42712</v>
      </c>
      <c r="H9" s="60">
        <f ca="1">IF(DAY(NovSun1)=1,NovSun1+34,NovSun1+41)</f>
        <v>42713</v>
      </c>
      <c r="I9" s="60">
        <f ca="1">IF(DAY(NovSun1)=1,NovSun1+35,NovSun1+42)</f>
        <v>42714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7" priority="3" stopIfTrue="1">
      <formula>DAY(C4)&gt;8</formula>
    </cfRule>
  </conditionalFormatting>
  <conditionalFormatting sqref="C8:I10">
    <cfRule type="expression" dxfId="6" priority="2" stopIfTrue="1">
      <formula>AND(DAY(C8)&gt;=1,DAY(C8)&lt;=15)</formula>
    </cfRule>
  </conditionalFormatting>
  <conditionalFormatting sqref="C4:I9">
    <cfRule type="expression" dxfId="5" priority="4">
      <formula>VLOOKUP(DAY(C4),AssignmentDays,1,FALSE)=DAY(C4)</formula>
    </cfRule>
  </conditionalFormatting>
  <conditionalFormatting sqref="B14:J33">
    <cfRule type="expression" dxfId="4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O33"/>
  <sheetViews>
    <sheetView showGridLines="0" zoomScaleNormal="100" zoomScalePageLayoutView="84" workbookViewId="0"/>
  </sheetViews>
  <sheetFormatPr defaultColWidth="8.7109375" defaultRowHeight="16.5" customHeight="1" x14ac:dyDescent="0.2"/>
  <cols>
    <col min="1" max="1" width="2.28515625" style="1" customWidth="1"/>
    <col min="2" max="2" width="12.7109375" style="1" customWidth="1"/>
    <col min="3" max="10" width="6.7109375" style="1" customWidth="1"/>
    <col min="11" max="11" width="7.28515625" style="1" customWidth="1"/>
    <col min="12" max="12" width="3.85546875" style="2" customWidth="1"/>
    <col min="13" max="13" width="51.42578125" style="1" customWidth="1"/>
    <col min="14" max="14" width="10.7109375" style="1" customWidth="1"/>
    <col min="15" max="15" width="2.28515625" style="2" customWidth="1"/>
    <col min="16" max="16384" width="8.7109375" style="1"/>
  </cols>
  <sheetData>
    <row r="1" spans="1:14" ht="11.25" customHeight="1" x14ac:dyDescent="0.2"/>
    <row r="2" spans="1:14" ht="18" customHeight="1" x14ac:dyDescent="0.2">
      <c r="A2" s="53"/>
      <c r="B2" s="77"/>
      <c r="C2" s="76"/>
      <c r="D2" s="76"/>
      <c r="E2" s="76"/>
      <c r="F2" s="76"/>
      <c r="G2" s="76"/>
      <c r="H2" s="76"/>
      <c r="I2" s="76"/>
      <c r="J2" s="75"/>
      <c r="K2" s="74" t="s">
        <v>27</v>
      </c>
      <c r="L2" s="73">
        <v>2013</v>
      </c>
      <c r="M2" s="73"/>
      <c r="N2" s="81">
        <f ca="1">CalendarYear</f>
        <v>2016</v>
      </c>
    </row>
    <row r="3" spans="1:14" ht="21" customHeight="1" x14ac:dyDescent="0.2">
      <c r="A3" s="53"/>
      <c r="B3" s="66" t="s">
        <v>38</v>
      </c>
      <c r="C3" s="71" t="s">
        <v>20</v>
      </c>
      <c r="D3" s="71" t="s">
        <v>24</v>
      </c>
      <c r="E3" s="71" t="s">
        <v>22</v>
      </c>
      <c r="F3" s="71" t="s">
        <v>23</v>
      </c>
      <c r="G3" s="71" t="s">
        <v>22</v>
      </c>
      <c r="H3" s="71" t="s">
        <v>21</v>
      </c>
      <c r="I3" s="71" t="s">
        <v>20</v>
      </c>
      <c r="J3" s="59"/>
      <c r="K3" s="70"/>
      <c r="L3" s="69"/>
      <c r="M3" s="69"/>
      <c r="N3" s="80"/>
    </row>
    <row r="4" spans="1:14" ht="18" customHeight="1" x14ac:dyDescent="0.2">
      <c r="A4" s="53"/>
      <c r="B4" s="66"/>
      <c r="C4" s="60">
        <f ca="1">IF(DAY(DecSun1)=1,DecSun1-6,DecSun1+1)</f>
        <v>42701</v>
      </c>
      <c r="D4" s="60">
        <f ca="1">IF(DAY(DecSun1)=1,DecSun1-5,DecSun1+2)</f>
        <v>42702</v>
      </c>
      <c r="E4" s="60">
        <f ca="1">IF(DAY(DecSun1)=1,DecSun1-4,DecSun1+3)</f>
        <v>42703</v>
      </c>
      <c r="F4" s="60">
        <f ca="1">IF(DAY(DecSun1)=1,DecSun1-3,DecSun1+4)</f>
        <v>42704</v>
      </c>
      <c r="G4" s="60">
        <f ca="1">IF(DAY(DecSun1)=1,DecSun1-2,DecSun1+5)</f>
        <v>42705</v>
      </c>
      <c r="H4" s="60">
        <f ca="1">IF(DAY(DecSun1)=1,DecSun1-1,DecSun1+6)</f>
        <v>42706</v>
      </c>
      <c r="I4" s="60">
        <f ca="1">IF(DAY(DecSun1)=1,DecSun1,DecSun1+7)</f>
        <v>42707</v>
      </c>
      <c r="J4" s="59"/>
      <c r="K4" s="65" t="s">
        <v>15</v>
      </c>
      <c r="L4" s="30"/>
      <c r="M4" s="64"/>
      <c r="N4" s="63"/>
    </row>
    <row r="5" spans="1:14" ht="18" customHeight="1" x14ac:dyDescent="0.2">
      <c r="A5" s="53"/>
      <c r="B5" s="79"/>
      <c r="C5" s="60">
        <f ca="1">IF(DAY(DecSun1)=1,DecSun1+1,DecSun1+8)</f>
        <v>42708</v>
      </c>
      <c r="D5" s="60">
        <f ca="1">IF(DAY(DecSun1)=1,DecSun1+2,DecSun1+9)</f>
        <v>42709</v>
      </c>
      <c r="E5" s="60">
        <f ca="1">IF(DAY(DecSun1)=1,DecSun1+3,DecSun1+10)</f>
        <v>42710</v>
      </c>
      <c r="F5" s="60">
        <f ca="1">IF(DAY(DecSun1)=1,DecSun1+4,DecSun1+11)</f>
        <v>42711</v>
      </c>
      <c r="G5" s="60">
        <f ca="1">IF(DAY(DecSun1)=1,DecSun1+5,DecSun1+12)</f>
        <v>42712</v>
      </c>
      <c r="H5" s="60">
        <f ca="1">IF(DAY(DecSun1)=1,DecSun1+6,DecSun1+13)</f>
        <v>42713</v>
      </c>
      <c r="I5" s="60">
        <f ca="1">IF(DAY(DecSun1)=1,DecSun1+7,DecSun1+14)</f>
        <v>42714</v>
      </c>
      <c r="J5" s="59"/>
      <c r="K5" s="25"/>
      <c r="L5" s="14"/>
      <c r="M5" s="13"/>
      <c r="N5" s="12"/>
    </row>
    <row r="6" spans="1:14" ht="18" customHeight="1" x14ac:dyDescent="0.2">
      <c r="A6" s="53"/>
      <c r="B6" s="79"/>
      <c r="C6" s="60">
        <f ca="1">IF(DAY(DecSun1)=1,DecSun1+8,DecSun1+15)</f>
        <v>42715</v>
      </c>
      <c r="D6" s="60">
        <f ca="1">IF(DAY(DecSun1)=1,DecSun1+9,DecSun1+16)</f>
        <v>42716</v>
      </c>
      <c r="E6" s="60">
        <f ca="1">IF(DAY(DecSun1)=1,DecSun1+10,DecSun1+17)</f>
        <v>42717</v>
      </c>
      <c r="F6" s="60">
        <f ca="1">IF(DAY(DecSun1)=1,DecSun1+11,DecSun1+18)</f>
        <v>42718</v>
      </c>
      <c r="G6" s="60">
        <f ca="1">IF(DAY(DecSun1)=1,DecSun1+12,DecSun1+19)</f>
        <v>42719</v>
      </c>
      <c r="H6" s="60">
        <f ca="1">IF(DAY(DecSun1)=1,DecSun1+13,DecSun1+20)</f>
        <v>42720</v>
      </c>
      <c r="I6" s="60">
        <f ca="1">IF(DAY(DecSun1)=1,DecSun1+14,DecSun1+21)</f>
        <v>42721</v>
      </c>
      <c r="J6" s="59"/>
      <c r="K6" s="25"/>
      <c r="L6" s="14"/>
      <c r="M6" s="13"/>
      <c r="N6" s="12"/>
    </row>
    <row r="7" spans="1:14" ht="18" customHeight="1" x14ac:dyDescent="0.2">
      <c r="A7" s="53"/>
      <c r="B7" s="79"/>
      <c r="C7" s="60">
        <f ca="1">IF(DAY(DecSun1)=1,DecSun1+15,DecSun1+22)</f>
        <v>42722</v>
      </c>
      <c r="D7" s="60">
        <f ca="1">IF(DAY(DecSun1)=1,DecSun1+16,DecSun1+23)</f>
        <v>42723</v>
      </c>
      <c r="E7" s="60">
        <f ca="1">IF(DAY(DecSun1)=1,DecSun1+17,DecSun1+24)</f>
        <v>42724</v>
      </c>
      <c r="F7" s="60">
        <f ca="1">IF(DAY(DecSun1)=1,DecSun1+18,DecSun1+25)</f>
        <v>42725</v>
      </c>
      <c r="G7" s="60">
        <f ca="1">IF(DAY(DecSun1)=1,DecSun1+19,DecSun1+26)</f>
        <v>42726</v>
      </c>
      <c r="H7" s="60">
        <f ca="1">IF(DAY(DecSun1)=1,DecSun1+20,DecSun1+27)</f>
        <v>42727</v>
      </c>
      <c r="I7" s="60">
        <f ca="1">IF(DAY(DecSun1)=1,DecSun1+21,DecSun1+28)</f>
        <v>42728</v>
      </c>
      <c r="J7" s="59"/>
      <c r="K7" s="39"/>
      <c r="L7" s="14"/>
      <c r="M7" s="13"/>
      <c r="N7" s="12"/>
    </row>
    <row r="8" spans="1:14" ht="18.75" customHeight="1" x14ac:dyDescent="0.2">
      <c r="A8" s="53"/>
      <c r="B8" s="79"/>
      <c r="C8" s="60">
        <f ca="1">IF(DAY(DecSun1)=1,DecSun1+22,DecSun1+29)</f>
        <v>42729</v>
      </c>
      <c r="D8" s="60">
        <f ca="1">IF(DAY(DecSun1)=1,DecSun1+23,DecSun1+30)</f>
        <v>42730</v>
      </c>
      <c r="E8" s="60">
        <f ca="1">IF(DAY(DecSun1)=1,DecSun1+24,DecSun1+31)</f>
        <v>42731</v>
      </c>
      <c r="F8" s="60">
        <f ca="1">IF(DAY(DecSun1)=1,DecSun1+25,DecSun1+32)</f>
        <v>42732</v>
      </c>
      <c r="G8" s="60">
        <f ca="1">IF(DAY(DecSun1)=1,DecSun1+26,DecSun1+33)</f>
        <v>42733</v>
      </c>
      <c r="H8" s="60">
        <f ca="1">IF(DAY(DecSun1)=1,DecSun1+27,DecSun1+34)</f>
        <v>42734</v>
      </c>
      <c r="I8" s="60">
        <f ca="1">IF(DAY(DecSun1)=1,DecSun1+28,DecSun1+35)</f>
        <v>42735</v>
      </c>
      <c r="J8" s="59"/>
      <c r="K8" s="39"/>
      <c r="L8" s="14"/>
      <c r="M8" s="13"/>
      <c r="N8" s="12"/>
    </row>
    <row r="9" spans="1:14" ht="18" customHeight="1" x14ac:dyDescent="0.2">
      <c r="A9" s="53"/>
      <c r="B9" s="79"/>
      <c r="C9" s="60">
        <f ca="1">IF(DAY(DecSun1)=1,DecSun1+29,DecSun1+36)</f>
        <v>42736</v>
      </c>
      <c r="D9" s="60">
        <f ca="1">IF(DAY(DecSun1)=1,DecSun1+30,DecSun1+37)</f>
        <v>42737</v>
      </c>
      <c r="E9" s="60">
        <f ca="1">IF(DAY(DecSun1)=1,DecSun1+31,DecSun1+38)</f>
        <v>42738</v>
      </c>
      <c r="F9" s="60">
        <f ca="1">IF(DAY(DecSun1)=1,DecSun1+32,DecSun1+39)</f>
        <v>42739</v>
      </c>
      <c r="G9" s="60">
        <f ca="1">IF(DAY(DecSun1)=1,DecSun1+33,DecSun1+40)</f>
        <v>42740</v>
      </c>
      <c r="H9" s="60">
        <f ca="1">IF(DAY(DecSun1)=1,DecSun1+34,DecSun1+41)</f>
        <v>42741</v>
      </c>
      <c r="I9" s="60">
        <f ca="1">IF(DAY(DecSun1)=1,DecSun1+35,DecSun1+42)</f>
        <v>42742</v>
      </c>
      <c r="J9" s="59"/>
      <c r="K9" s="58"/>
      <c r="L9" s="57"/>
      <c r="M9" s="34"/>
      <c r="N9" s="33"/>
    </row>
    <row r="10" spans="1:14" ht="18" customHeight="1" x14ac:dyDescent="0.2">
      <c r="A10" s="53"/>
      <c r="B10" s="78"/>
      <c r="C10" s="55"/>
      <c r="D10" s="55"/>
      <c r="E10" s="55"/>
      <c r="F10" s="55"/>
      <c r="G10" s="55"/>
      <c r="H10" s="55"/>
      <c r="I10" s="55"/>
      <c r="J10" s="54"/>
      <c r="K10" s="31" t="s">
        <v>18</v>
      </c>
      <c r="L10" s="30"/>
      <c r="M10" s="29"/>
      <c r="N10" s="28"/>
    </row>
    <row r="11" spans="1:14" ht="18" customHeight="1" x14ac:dyDescent="0.2">
      <c r="A11" s="53"/>
      <c r="B11" s="52" t="s">
        <v>16</v>
      </c>
      <c r="C11" s="51"/>
      <c r="D11" s="51"/>
      <c r="E11" s="51"/>
      <c r="F11" s="51"/>
      <c r="G11" s="51"/>
      <c r="H11" s="51"/>
      <c r="I11" s="51"/>
      <c r="J11" s="50"/>
      <c r="K11" s="25"/>
      <c r="L11" s="14"/>
      <c r="M11" s="13"/>
      <c r="N11" s="12"/>
    </row>
    <row r="12" spans="1:14" ht="18" customHeight="1" x14ac:dyDescent="0.2">
      <c r="A12" s="53"/>
      <c r="B12" s="52"/>
      <c r="C12" s="51"/>
      <c r="D12" s="51"/>
      <c r="E12" s="51"/>
      <c r="F12" s="51"/>
      <c r="G12" s="51"/>
      <c r="H12" s="51"/>
      <c r="I12" s="51"/>
      <c r="J12" s="50"/>
      <c r="K12" s="25"/>
      <c r="L12" s="14"/>
      <c r="M12" s="13"/>
      <c r="N12" s="12"/>
    </row>
    <row r="13" spans="1:14" ht="18" customHeight="1" x14ac:dyDescent="0.2">
      <c r="B13" s="49" t="s">
        <v>15</v>
      </c>
      <c r="C13" s="47" t="s">
        <v>14</v>
      </c>
      <c r="D13" s="48"/>
      <c r="E13" s="47" t="s">
        <v>9</v>
      </c>
      <c r="F13" s="48"/>
      <c r="G13" s="47" t="s">
        <v>13</v>
      </c>
      <c r="H13" s="48"/>
      <c r="I13" s="47" t="s">
        <v>2</v>
      </c>
      <c r="J13" s="46"/>
      <c r="K13" s="39"/>
      <c r="L13" s="14"/>
      <c r="M13" s="13"/>
      <c r="N13" s="12"/>
    </row>
    <row r="14" spans="1:14" ht="18" customHeight="1" x14ac:dyDescent="0.2">
      <c r="B14" s="20" t="s">
        <v>12</v>
      </c>
      <c r="C14" s="19"/>
      <c r="D14" s="18"/>
      <c r="E14" s="19" t="s">
        <v>12</v>
      </c>
      <c r="F14" s="18"/>
      <c r="G14" s="19"/>
      <c r="H14" s="18"/>
      <c r="I14" s="19" t="s">
        <v>12</v>
      </c>
      <c r="J14" s="32"/>
      <c r="K14" s="39"/>
      <c r="L14" s="14"/>
      <c r="M14" s="13"/>
      <c r="N14" s="12"/>
    </row>
    <row r="15" spans="1:14" ht="18" customHeight="1" x14ac:dyDescent="0.2">
      <c r="B15" s="24" t="s">
        <v>11</v>
      </c>
      <c r="C15" s="22"/>
      <c r="D15" s="23"/>
      <c r="E15" s="22" t="s">
        <v>11</v>
      </c>
      <c r="F15" s="23"/>
      <c r="G15" s="22"/>
      <c r="H15" s="23"/>
      <c r="I15" s="38" t="s">
        <v>11</v>
      </c>
      <c r="J15" s="37"/>
      <c r="K15" s="36"/>
      <c r="L15" s="35"/>
      <c r="M15" s="34"/>
      <c r="N15" s="33"/>
    </row>
    <row r="16" spans="1:14" ht="18" customHeight="1" x14ac:dyDescent="0.2">
      <c r="B16" s="20"/>
      <c r="C16" s="19" t="s">
        <v>10</v>
      </c>
      <c r="D16" s="18"/>
      <c r="E16" s="19"/>
      <c r="F16" s="18"/>
      <c r="G16" s="19" t="s">
        <v>10</v>
      </c>
      <c r="H16" s="18"/>
      <c r="I16" s="17"/>
      <c r="J16" s="16"/>
      <c r="K16" s="31" t="s">
        <v>9</v>
      </c>
      <c r="L16" s="30"/>
      <c r="M16" s="29"/>
      <c r="N16" s="28"/>
    </row>
    <row r="17" spans="2:14" ht="18" customHeight="1" x14ac:dyDescent="0.2">
      <c r="B17" s="24"/>
      <c r="C17" s="22" t="s">
        <v>8</v>
      </c>
      <c r="D17" s="23"/>
      <c r="E17" s="22"/>
      <c r="F17" s="23"/>
      <c r="G17" s="22" t="s">
        <v>8</v>
      </c>
      <c r="H17" s="23"/>
      <c r="I17" s="38"/>
      <c r="J17" s="37"/>
      <c r="K17" s="25"/>
      <c r="L17" s="14"/>
      <c r="M17" s="13"/>
      <c r="N17" s="12"/>
    </row>
    <row r="18" spans="2:14" ht="18" customHeight="1" x14ac:dyDescent="0.2">
      <c r="B18" s="45" t="s">
        <v>7</v>
      </c>
      <c r="C18" s="43"/>
      <c r="D18" s="44"/>
      <c r="E18" s="43" t="s">
        <v>7</v>
      </c>
      <c r="F18" s="44"/>
      <c r="G18" s="43"/>
      <c r="H18" s="44"/>
      <c r="I18" s="43" t="s">
        <v>7</v>
      </c>
      <c r="J18" s="42"/>
      <c r="K18" s="25"/>
      <c r="L18" s="14"/>
      <c r="M18" s="13"/>
      <c r="N18" s="12"/>
    </row>
    <row r="19" spans="2:14" ht="18" customHeight="1" x14ac:dyDescent="0.2">
      <c r="B19" s="24" t="s">
        <v>6</v>
      </c>
      <c r="C19" s="22"/>
      <c r="D19" s="23"/>
      <c r="E19" s="22" t="s">
        <v>6</v>
      </c>
      <c r="F19" s="23"/>
      <c r="G19" s="22"/>
      <c r="H19" s="23"/>
      <c r="I19" s="38" t="s">
        <v>6</v>
      </c>
      <c r="J19" s="37"/>
      <c r="K19" s="39"/>
      <c r="L19" s="14"/>
      <c r="M19" s="13"/>
      <c r="N19" s="12"/>
    </row>
    <row r="20" spans="2:14" ht="18" customHeight="1" x14ac:dyDescent="0.2">
      <c r="B20" s="20"/>
      <c r="C20" s="19"/>
      <c r="D20" s="18"/>
      <c r="E20" s="19"/>
      <c r="F20" s="18"/>
      <c r="G20" s="19"/>
      <c r="H20" s="18"/>
      <c r="I20" s="19"/>
      <c r="J20" s="32"/>
      <c r="K20" s="39"/>
      <c r="L20" s="14"/>
      <c r="M20" s="13"/>
      <c r="N20" s="12"/>
    </row>
    <row r="21" spans="2:14" ht="18" customHeight="1" x14ac:dyDescent="0.2">
      <c r="B21" s="24"/>
      <c r="C21" s="22"/>
      <c r="D21" s="23"/>
      <c r="E21" s="22"/>
      <c r="F21" s="23"/>
      <c r="G21" s="22"/>
      <c r="H21" s="23"/>
      <c r="I21" s="41"/>
      <c r="J21" s="40"/>
      <c r="K21" s="36"/>
      <c r="L21" s="35"/>
      <c r="M21" s="34"/>
      <c r="N21" s="33"/>
    </row>
    <row r="22" spans="2:14" ht="18" customHeight="1" x14ac:dyDescent="0.2">
      <c r="B22" s="20"/>
      <c r="C22" s="19"/>
      <c r="D22" s="18"/>
      <c r="E22" s="19"/>
      <c r="F22" s="18"/>
      <c r="G22" s="19"/>
      <c r="H22" s="18"/>
      <c r="I22" s="19"/>
      <c r="J22" s="32"/>
      <c r="K22" s="31" t="s">
        <v>5</v>
      </c>
      <c r="L22" s="30"/>
      <c r="M22" s="29"/>
      <c r="N22" s="28"/>
    </row>
    <row r="23" spans="2:14" ht="18" customHeight="1" x14ac:dyDescent="0.2">
      <c r="B23" s="24"/>
      <c r="C23" s="22"/>
      <c r="D23" s="23"/>
      <c r="E23" s="22"/>
      <c r="F23" s="23"/>
      <c r="G23" s="22"/>
      <c r="H23" s="23"/>
      <c r="I23" s="38"/>
      <c r="J23" s="37"/>
      <c r="K23" s="25"/>
      <c r="L23" s="14"/>
      <c r="M23" s="13"/>
      <c r="N23" s="12"/>
    </row>
    <row r="24" spans="2:14" ht="18" customHeight="1" x14ac:dyDescent="0.2">
      <c r="B24" s="20"/>
      <c r="C24" s="19"/>
      <c r="D24" s="18"/>
      <c r="E24" s="19"/>
      <c r="F24" s="18"/>
      <c r="G24" s="19"/>
      <c r="H24" s="18"/>
      <c r="I24" s="19"/>
      <c r="J24" s="32"/>
      <c r="K24" s="25"/>
      <c r="L24" s="14"/>
      <c r="M24" s="13"/>
      <c r="N24" s="12"/>
    </row>
    <row r="25" spans="2:14" ht="18" customHeight="1" x14ac:dyDescent="0.2">
      <c r="B25" s="24"/>
      <c r="C25" s="22"/>
      <c r="D25" s="23"/>
      <c r="E25" s="22"/>
      <c r="F25" s="23"/>
      <c r="G25" s="22"/>
      <c r="H25" s="23"/>
      <c r="I25" s="38"/>
      <c r="J25" s="37"/>
      <c r="K25" s="25"/>
      <c r="L25" s="14"/>
      <c r="M25" s="13"/>
      <c r="N25" s="12"/>
    </row>
    <row r="26" spans="2:14" ht="18" customHeight="1" x14ac:dyDescent="0.2">
      <c r="B26" s="20" t="s">
        <v>4</v>
      </c>
      <c r="C26" s="19"/>
      <c r="D26" s="18"/>
      <c r="E26" s="19" t="s">
        <v>4</v>
      </c>
      <c r="F26" s="18"/>
      <c r="G26" s="19"/>
      <c r="H26" s="18"/>
      <c r="I26" s="19" t="s">
        <v>4</v>
      </c>
      <c r="J26" s="32"/>
      <c r="K26" s="39"/>
      <c r="L26" s="14"/>
      <c r="M26" s="13"/>
      <c r="N26" s="12"/>
    </row>
    <row r="27" spans="2:14" ht="18" customHeight="1" x14ac:dyDescent="0.2">
      <c r="B27" s="24" t="s">
        <v>3</v>
      </c>
      <c r="C27" s="22"/>
      <c r="D27" s="23"/>
      <c r="E27" s="22" t="s">
        <v>3</v>
      </c>
      <c r="F27" s="23"/>
      <c r="G27" s="22"/>
      <c r="H27" s="23"/>
      <c r="I27" s="38" t="s">
        <v>3</v>
      </c>
      <c r="J27" s="37"/>
      <c r="K27" s="36"/>
      <c r="L27" s="35"/>
      <c r="M27" s="34"/>
      <c r="N27" s="33"/>
    </row>
    <row r="28" spans="2:14" ht="18" customHeight="1" x14ac:dyDescent="0.2">
      <c r="B28" s="20"/>
      <c r="C28" s="19"/>
      <c r="D28" s="18"/>
      <c r="E28" s="19"/>
      <c r="F28" s="18"/>
      <c r="G28" s="19"/>
      <c r="H28" s="18"/>
      <c r="I28" s="19"/>
      <c r="J28" s="32"/>
      <c r="K28" s="31" t="s">
        <v>2</v>
      </c>
      <c r="L28" s="30"/>
      <c r="M28" s="29"/>
      <c r="N28" s="28"/>
    </row>
    <row r="29" spans="2:14" ht="18" customHeight="1" x14ac:dyDescent="0.2">
      <c r="B29" s="24"/>
      <c r="C29" s="22"/>
      <c r="D29" s="23"/>
      <c r="E29" s="22"/>
      <c r="F29" s="23"/>
      <c r="G29" s="22"/>
      <c r="H29" s="23"/>
      <c r="I29" s="22"/>
      <c r="J29" s="21"/>
      <c r="K29" s="25"/>
      <c r="L29" s="14"/>
      <c r="M29" s="13"/>
      <c r="N29" s="12"/>
    </row>
    <row r="30" spans="2:14" ht="18" customHeight="1" x14ac:dyDescent="0.2">
      <c r="B30" s="20"/>
      <c r="C30" s="19" t="s">
        <v>1</v>
      </c>
      <c r="D30" s="18"/>
      <c r="E30" s="19"/>
      <c r="F30" s="18"/>
      <c r="G30" s="19" t="s">
        <v>1</v>
      </c>
      <c r="H30" s="18"/>
      <c r="I30" s="27"/>
      <c r="J30" s="26"/>
      <c r="K30" s="25"/>
      <c r="L30" s="14"/>
      <c r="M30" s="13"/>
      <c r="N30" s="12"/>
    </row>
    <row r="31" spans="2:14" ht="18" customHeight="1" x14ac:dyDescent="0.2">
      <c r="B31" s="24"/>
      <c r="C31" s="22" t="s">
        <v>0</v>
      </c>
      <c r="D31" s="23"/>
      <c r="E31" s="22"/>
      <c r="F31" s="23"/>
      <c r="G31" s="22" t="s">
        <v>0</v>
      </c>
      <c r="H31" s="23"/>
      <c r="I31" s="22"/>
      <c r="J31" s="21"/>
      <c r="K31" s="15"/>
      <c r="L31" s="14"/>
      <c r="M31" s="13"/>
      <c r="N31" s="12"/>
    </row>
    <row r="32" spans="2:14" ht="18" customHeight="1" x14ac:dyDescent="0.2">
      <c r="B32" s="20"/>
      <c r="C32" s="19"/>
      <c r="D32" s="18"/>
      <c r="E32" s="19"/>
      <c r="F32" s="18"/>
      <c r="G32" s="19"/>
      <c r="H32" s="18"/>
      <c r="I32" s="17"/>
      <c r="J32" s="16"/>
      <c r="K32" s="15"/>
      <c r="L32" s="14"/>
      <c r="M32" s="13"/>
      <c r="N32" s="12"/>
    </row>
    <row r="33" spans="2:14" ht="18" customHeight="1" x14ac:dyDescent="0.25">
      <c r="B33" s="11"/>
      <c r="C33" s="10"/>
      <c r="D33" s="9"/>
      <c r="E33" s="10"/>
      <c r="F33" s="9"/>
      <c r="G33" s="10"/>
      <c r="H33" s="9"/>
      <c r="I33" s="8"/>
      <c r="J33" s="7"/>
      <c r="K33" s="6"/>
      <c r="L33" s="5"/>
      <c r="M33" s="4"/>
      <c r="N33" s="3"/>
    </row>
  </sheetData>
  <mergeCells count="123">
    <mergeCell ref="C13:D13"/>
    <mergeCell ref="E13:F13"/>
    <mergeCell ref="G13:H13"/>
    <mergeCell ref="I13:J13"/>
    <mergeCell ref="M13:N13"/>
    <mergeCell ref="B3:B4"/>
    <mergeCell ref="K2:M3"/>
    <mergeCell ref="K4:K6"/>
    <mergeCell ref="M4:N4"/>
    <mergeCell ref="M5:N5"/>
    <mergeCell ref="K10:K12"/>
    <mergeCell ref="N2:N3"/>
    <mergeCell ref="M10:N10"/>
    <mergeCell ref="B11:J12"/>
    <mergeCell ref="M11:N11"/>
    <mergeCell ref="M12:N12"/>
    <mergeCell ref="M6:N6"/>
    <mergeCell ref="M7:N7"/>
    <mergeCell ref="M8:N8"/>
    <mergeCell ref="M9:N9"/>
    <mergeCell ref="C14:D14"/>
    <mergeCell ref="E14:F14"/>
    <mergeCell ref="G14:H14"/>
    <mergeCell ref="I14:J14"/>
    <mergeCell ref="M14:N14"/>
    <mergeCell ref="C15:D15"/>
    <mergeCell ref="E15:F15"/>
    <mergeCell ref="G15:H15"/>
    <mergeCell ref="I15:J15"/>
    <mergeCell ref="M15:N15"/>
    <mergeCell ref="C16:D16"/>
    <mergeCell ref="E16:F16"/>
    <mergeCell ref="G16:H16"/>
    <mergeCell ref="I16:J16"/>
    <mergeCell ref="K16:K18"/>
    <mergeCell ref="M16:N16"/>
    <mergeCell ref="C17:D17"/>
    <mergeCell ref="E17:F17"/>
    <mergeCell ref="G17:H17"/>
    <mergeCell ref="I17:J17"/>
    <mergeCell ref="M17:N17"/>
    <mergeCell ref="C18:D18"/>
    <mergeCell ref="E18:F18"/>
    <mergeCell ref="G18:H18"/>
    <mergeCell ref="I18:J18"/>
    <mergeCell ref="M18:N18"/>
    <mergeCell ref="C19:D19"/>
    <mergeCell ref="E19:F19"/>
    <mergeCell ref="G19:H19"/>
    <mergeCell ref="I19:J19"/>
    <mergeCell ref="M19:N19"/>
    <mergeCell ref="C20:D20"/>
    <mergeCell ref="E20:F20"/>
    <mergeCell ref="G20:H20"/>
    <mergeCell ref="I20:J20"/>
    <mergeCell ref="M20:N20"/>
    <mergeCell ref="E24:F24"/>
    <mergeCell ref="G24:H24"/>
    <mergeCell ref="I24:J24"/>
    <mergeCell ref="M24:N24"/>
    <mergeCell ref="C25:D25"/>
    <mergeCell ref="E25:F25"/>
    <mergeCell ref="G25:H25"/>
    <mergeCell ref="C21:D21"/>
    <mergeCell ref="E21:F21"/>
    <mergeCell ref="G21:H21"/>
    <mergeCell ref="I21:J21"/>
    <mergeCell ref="M21:N21"/>
    <mergeCell ref="C22:D22"/>
    <mergeCell ref="E22:F22"/>
    <mergeCell ref="G22:H22"/>
    <mergeCell ref="I22:J22"/>
    <mergeCell ref="K22:K25"/>
    <mergeCell ref="G27:H27"/>
    <mergeCell ref="I27:J27"/>
    <mergeCell ref="M27:N27"/>
    <mergeCell ref="M22:N22"/>
    <mergeCell ref="C23:D23"/>
    <mergeCell ref="E23:F23"/>
    <mergeCell ref="G23:H23"/>
    <mergeCell ref="I23:J23"/>
    <mergeCell ref="M23:N23"/>
    <mergeCell ref="C24:D24"/>
    <mergeCell ref="I29:J29"/>
    <mergeCell ref="I25:J25"/>
    <mergeCell ref="M25:N25"/>
    <mergeCell ref="C26:D26"/>
    <mergeCell ref="E26:F26"/>
    <mergeCell ref="G26:H26"/>
    <mergeCell ref="I26:J26"/>
    <mergeCell ref="M26:N26"/>
    <mergeCell ref="C27:D27"/>
    <mergeCell ref="E27:F27"/>
    <mergeCell ref="M30:N30"/>
    <mergeCell ref="C28:D28"/>
    <mergeCell ref="E28:F28"/>
    <mergeCell ref="G28:H28"/>
    <mergeCell ref="I28:J28"/>
    <mergeCell ref="K28:K30"/>
    <mergeCell ref="M28:N28"/>
    <mergeCell ref="C29:D29"/>
    <mergeCell ref="E29:F29"/>
    <mergeCell ref="G29:H29"/>
    <mergeCell ref="C32:D32"/>
    <mergeCell ref="E32:F32"/>
    <mergeCell ref="G32:H32"/>
    <mergeCell ref="I32:J32"/>
    <mergeCell ref="M32:N32"/>
    <mergeCell ref="M29:N29"/>
    <mergeCell ref="C30:D30"/>
    <mergeCell ref="E30:F30"/>
    <mergeCell ref="G30:H30"/>
    <mergeCell ref="I30:J30"/>
    <mergeCell ref="C33:D33"/>
    <mergeCell ref="E33:F33"/>
    <mergeCell ref="G33:H33"/>
    <mergeCell ref="I33:J33"/>
    <mergeCell ref="M33:N33"/>
    <mergeCell ref="C31:D31"/>
    <mergeCell ref="E31:F31"/>
    <mergeCell ref="G31:H31"/>
    <mergeCell ref="I31:J31"/>
    <mergeCell ref="M31:N31"/>
  </mergeCells>
  <conditionalFormatting sqref="C4:H4">
    <cfRule type="expression" dxfId="3" priority="3" stopIfTrue="1">
      <formula>DAY(C4)&gt;8</formula>
    </cfRule>
  </conditionalFormatting>
  <conditionalFormatting sqref="C8:I10">
    <cfRule type="expression" dxfId="2" priority="2" stopIfTrue="1">
      <formula>AND(DAY(C8)&gt;=1,DAY(C8)&lt;=15)</formula>
    </cfRule>
  </conditionalFormatting>
  <conditionalFormatting sqref="C4:I9">
    <cfRule type="expression" dxfId="1" priority="4">
      <formula>VLOOKUP(DAY(C4),AssignmentDays,1,FALSE)=DAY(C4)</formula>
    </cfRule>
  </conditionalFormatting>
  <conditionalFormatting sqref="B14:J33">
    <cfRule type="expression" dxfId="0" priority="1">
      <formula>B14&lt;&gt;""</formula>
    </cfRule>
  </conditionalFormatting>
  <printOptions horizontalCentered="1" verticalCentered="1"/>
  <pageMargins left="0.5" right="0.5" top="0.5" bottom="0.5" header="0.3" footer="0.3"/>
  <pageSetup scale="9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37</vt:i4>
      </vt:variant>
    </vt:vector>
  </HeadingPairs>
  <TitlesOfParts>
    <vt:vector size="50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Sheet2</vt:lpstr>
      <vt:lpstr>Apr!AssignmentDays</vt:lpstr>
      <vt:lpstr>Aug!AssignmentDays</vt:lpstr>
      <vt:lpstr>Dec!AssignmentDays</vt:lpstr>
      <vt:lpstr>Feb!AssignmentDays</vt:lpstr>
      <vt:lpstr>Jul!AssignmentDays</vt:lpstr>
      <vt:lpstr>Jun!AssignmentDays</vt:lpstr>
      <vt:lpstr>Mar!AssignmentDays</vt:lpstr>
      <vt:lpstr>May!AssignmentDays</vt:lpstr>
      <vt:lpstr>Nov!AssignmentDays</vt:lpstr>
      <vt:lpstr>Oct!AssignmentDays</vt:lpstr>
      <vt:lpstr>Sep!AssignmentDays</vt:lpstr>
      <vt:lpstr>AssignmentDays</vt:lpstr>
      <vt:lpstr>CalendarYear</vt:lpstr>
      <vt:lpstr>Apr!ImportantDatesTable</vt:lpstr>
      <vt:lpstr>Aug!ImportantDatesTable</vt:lpstr>
      <vt:lpstr>Dec!ImportantDatesTable</vt:lpstr>
      <vt:lpstr>Feb!ImportantDatesTable</vt:lpstr>
      <vt:lpstr>Jul!ImportantDatesTable</vt:lpstr>
      <vt:lpstr>Jun!ImportantDatesTable</vt:lpstr>
      <vt:lpstr>Mar!ImportantDatesTable</vt:lpstr>
      <vt:lpstr>May!ImportantDatesTable</vt:lpstr>
      <vt:lpstr>Nov!ImportantDatesTable</vt:lpstr>
      <vt:lpstr>Oct!ImportantDatesTable</vt:lpstr>
      <vt:lpstr>Sep!ImportantDatesTable</vt:lpstr>
      <vt:lpstr>ImportantDatesTable</vt:lpstr>
      <vt:lpstr>Apr!Print_Area</vt:lpstr>
      <vt:lpstr>Aug!Print_Area</vt:lpstr>
      <vt:lpstr>Dec!Print_Area</vt:lpstr>
      <vt:lpstr>Feb!Print_Area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2016-11-14T17:35:24Z</dcterms:modified>
</cp:coreProperties>
</file>